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W:\Aktenvorlagen\Formulare Leitfäden\NtPz-DECLARE\NTS\Anpassung 2026\"/>
    </mc:Choice>
  </mc:AlternateContent>
  <xr:revisionPtr revIDLastSave="0" documentId="13_ncr:1_{504D6CD2-E625-4CD1-8482-B7E94E82204B}" xr6:coauthVersionLast="47" xr6:coauthVersionMax="47" xr10:uidLastSave="{00000000-0000-0000-0000-000000000000}"/>
  <workbookProtection workbookAlgorithmName="SHA-512" workbookHashValue="580R2f/QDgsFO3jdPytGuISpOJJRFXb3YJwdp8xye66bI1qqQPPfbkhnN6Le/2hczmdmLoqYx+tmY6bIXu/PBQ==" workbookSaltValue="DaTxD145ESeiFrPmG0We9A==" workbookSpinCount="100000" lockStructure="1"/>
  <bookViews>
    <workbookView xWindow="28680" yWindow="-120" windowWidth="29040" windowHeight="15720" tabRatio="577" xr2:uid="{00000000-000D-0000-FFFF-FFFF00000000}"/>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_xlnm.Print_Area" localSheetId="2">'Expected harms'!$A$1:$E$28</definedName>
    <definedName name="_xlnm.Print_Area" localSheetId="3">'Fate of animals kept alive'!$A$1:$D$27</definedName>
    <definedName name="_xlnm.Print_Area" localSheetId="0">NTS!$C$1:$G$47</definedName>
    <definedName name="_xlnm.Print_Area" localSheetId="1">'Purpose of the project'!$A$1:$A$38</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8" i="1" l="1"/>
  <c r="I41" i="1"/>
  <c r="I4" i="1"/>
  <c r="I60" i="1"/>
  <c r="I59" i="1"/>
  <c r="I58" i="1"/>
  <c r="I57" i="1"/>
  <c r="I54" i="1"/>
  <c r="I55" i="1"/>
  <c r="I53" i="1"/>
  <c r="I50" i="1"/>
  <c r="I49" i="1"/>
  <c r="I52" i="1"/>
  <c r="I51" i="1"/>
  <c r="I40"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<sst xmlns="http://schemas.openxmlformats.org/spreadsheetml/2006/main" count="5251" uniqueCount="4971">
  <si>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</si>
  <si>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</si>
  <si>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</si>
  <si>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</si>
  <si>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</si>
  <si>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</si>
  <si>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</si>
  <si>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</si>
  <si>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</si>
  <si>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</si>
  <si>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</si>
  <si>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</si>
  <si>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</si>
  <si>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</si>
  <si>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</si>
  <si>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</si>
  <si>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</si>
  <si>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</si>
  <si>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</si>
  <si>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</si>
  <si>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</si>
  <si>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</si>
  <si>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</si>
  <si>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</si>
  <si>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</si>
  <si>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</si>
  <si>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</si>
  <si>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</si>
  <si>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</si>
  <si>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</si>
  <si>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</si>
  <si>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</si>
  <si>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</si>
  <si>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</si>
  <si>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</si>
  <si>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</si>
  <si>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</si>
  <si>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</si>
  <si>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</si>
  <si>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</si>
  <si>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</si>
  <si>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</si>
  <si>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</si>
  <si>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</si>
  <si>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</si>
  <si>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</si>
  <si>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</si>
  <si>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</si>
  <si>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</si>
  <si>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</si>
  <si>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</si>
  <si>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</si>
  <si>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</si>
  <si>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</si>
  <si>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</si>
  <si>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</si>
  <si>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</si>
  <si>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</si>
  <si>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</si>
  <si>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</si>
  <si>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</si>
  <si>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</si>
  <si>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</si>
  <si>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</si>
  <si>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</si>
  <si>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</si>
  <si>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</si>
  <si>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</si>
  <si>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</si>
  <si>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</si>
  <si>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</si>
  <si>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</si>
  <si>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</si>
  <si>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</si>
  <si>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</si>
  <si>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</si>
  <si>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</si>
  <si>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</si>
  <si>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</si>
  <si>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</si>
  <si>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</si>
  <si>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</si>
  <si>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</si>
  <si>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</si>
  <si>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</si>
  <si>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</si>
  <si>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</si>
  <si>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</si>
  <si>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</si>
  <si>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</si>
  <si>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</si>
  <si>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</si>
  <si>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</si>
  <si>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</si>
  <si>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</si>
  <si>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</si>
  <si>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</si>
  <si>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</si>
  <si>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</si>
  <si>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</si>
  <si>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</si>
  <si>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</si>
  <si>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</si>
  <si>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</si>
  <si>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</si>
  <si>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</si>
  <si>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</si>
  <si>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</si>
  <si>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</si>
  <si>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</si>
  <si>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</si>
  <si>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</si>
  <si>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</si>
  <si>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</si>
  <si>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</si>
  <si>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</si>
  <si>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</si>
  <si>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</si>
  <si>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</si>
  <si>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</si>
  <si>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</si>
  <si>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</si>
  <si>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</si>
  <si>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</si>
  <si>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</si>
  <si>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</si>
  <si>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</si>
  <si>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</si>
  <si>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</si>
  <si>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</si>
  <si>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</si>
  <si>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</si>
  <si>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</si>
  <si>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</si>
  <si>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</si>
  <si>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</si>
  <si>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</si>
  <si>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</si>
  <si>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</si>
  <si>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</si>
  <si>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</si>
  <si>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</si>
  <si>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</si>
  <si>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</si>
  <si>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</si>
  <si>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</si>
  <si>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</si>
  <si>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</si>
  <si>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</si>
  <si>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</si>
  <si>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</si>
  <si>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</si>
  <si>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</si>
  <si>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</si>
  <si>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</si>
  <si>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</si>
  <si>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</si>
  <si>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</si>
  <si>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</si>
  <si>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</si>
  <si>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</si>
  <si>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</si>
  <si>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</si>
  <si>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</si>
  <si>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</si>
  <si>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</si>
  <si>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</si>
  <si>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</si>
  <si>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</si>
  <si>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</si>
  <si>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</si>
  <si>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</si>
  <si>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</si>
  <si>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</si>
  <si>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</si>
  <si>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</si>
  <si>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</si>
  <si>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</si>
  <si>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</si>
  <si>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</si>
  <si>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</si>
  <si>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</si>
  <si>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</si>
  <si>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</si>
  <si>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</si>
  <si>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</si>
  <si>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</si>
  <si>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</si>
  <si>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</si>
  <si>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</si>
  <si>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</si>
  <si>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</si>
  <si>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</si>
  <si>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</si>
  <si>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</si>
  <si>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</si>
  <si>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</si>
  <si>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</si>
  <si>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</si>
  <si>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</si>
  <si>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</si>
  <si>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</si>
  <si>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</si>
  <si>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</si>
  <si>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</si>
  <si>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</si>
  <si>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</si>
  <si>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</si>
  <si>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</si>
  <si>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</si>
  <si>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</si>
  <si>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</si>
  <si>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</si>
  <si>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</si>
  <si>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</si>
  <si>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</si>
  <si>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</si>
  <si>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</si>
  <si>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</si>
  <si>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</si>
  <si>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</si>
  <si>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</si>
  <si>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</si>
  <si>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</si>
  <si>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</si>
  <si>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</si>
  <si>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</si>
  <si>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</si>
  <si>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</si>
  <si>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</si>
  <si>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</si>
  <si>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</si>
  <si>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</si>
  <si>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</si>
  <si>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</si>
  <si>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</si>
  <si>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</si>
  <si>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</si>
  <si>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</si>
  <si>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</si>
  <si>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</si>
  <si>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</si>
  <si>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</si>
  <si>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</si>
  <si>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</si>
  <si>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</si>
  <si>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</si>
  <si>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</si>
  <si>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</si>
  <si>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</si>
  <si>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</si>
  <si>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</si>
  <si>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</si>
  <si>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</si>
  <si>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</si>
  <si>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</si>
  <si>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</si>
  <si>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</si>
  <si>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</si>
  <si>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</si>
  <si>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</si>
  <si>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</si>
  <si>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</si>
  <si>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</si>
  <si>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</si>
  <si>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</si>
  <si>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</si>
  <si>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</si>
  <si>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</si>
  <si>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</si>
  <si>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</si>
  <si>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</si>
  <si>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</si>
  <si>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</si>
  <si>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</si>
  <si>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</si>
  <si>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</si>
  <si>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</si>
  <si>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</si>
  <si>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</si>
  <si>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</si>
  <si>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</si>
  <si>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</si>
  <si>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</si>
  <si>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</si>
  <si>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</si>
  <si>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</si>
  <si>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</si>
  <si>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</si>
  <si>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</si>
  <si>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</si>
  <si>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</si>
  <si>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</si>
  <si>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</si>
  <si>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</si>
  <si>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</si>
  <si>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</si>
  <si>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</si>
  <si>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</si>
  <si>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</si>
  <si>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</si>
  <si>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</si>
  <si>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</si>
  <si>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</si>
  <si>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</si>
  <si>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</si>
  <si>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</si>
  <si>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</si>
  <si>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</si>
  <si>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</si>
  <si>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</si>
  <si>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</si>
  <si>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</si>
  <si>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</si>
  <si>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</si>
  <si>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</si>
  <si>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</si>
  <si>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</si>
  <si>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</si>
  <si>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</si>
  <si>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</si>
  <si>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</si>
  <si>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</si>
  <si>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</si>
  <si>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</si>
  <si>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</si>
  <si>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</si>
  <si>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</si>
  <si>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</si>
  <si>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</si>
  <si>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</si>
  <si>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</si>
  <si>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</si>
  <si>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</si>
  <si>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</si>
  <si>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</si>
  <si>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</si>
  <si>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</si>
  <si>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</si>
  <si>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</si>
  <si>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</si>
  <si>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</si>
  <si>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</si>
  <si>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</si>
  <si>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</si>
  <si>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</si>
  <si>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</si>
  <si>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</si>
  <si>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</si>
  <si>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</si>
  <si>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</si>
  <si>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</si>
  <si>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</si>
  <si>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</si>
  <si>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</si>
  <si>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</si>
  <si>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</si>
  <si>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</si>
  <si>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</si>
  <si>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</si>
  <si>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</si>
  <si>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</si>
  <si>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</si>
  <si>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</si>
  <si>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</si>
  <si>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</si>
  <si>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</si>
  <si>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</si>
  <si>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</si>
  <si>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</si>
  <si>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</si>
  <si>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</si>
  <si>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</si>
  <si>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</si>
  <si>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</si>
  <si>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</si>
  <si>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</si>
  <si>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</si>
  <si>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</si>
  <si>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</si>
  <si>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</si>
  <si>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</si>
  <si>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</si>
  <si>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</si>
  <si>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</si>
  <si>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</si>
  <si>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</si>
  <si>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</si>
  <si>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</si>
  <si>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</si>
  <si>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</si>
  <si>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</si>
  <si>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</si>
  <si>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</si>
  <si>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</si>
  <si>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</si>
  <si>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</si>
  <si>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</si>
  <si>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</si>
  <si>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</si>
  <si>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</si>
  <si>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</si>
  <si>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</si>
  <si>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</si>
  <si>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</si>
  <si>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</si>
  <si>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</si>
  <si>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</si>
  <si>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</si>
  <si>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</si>
  <si>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</si>
  <si>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</si>
  <si>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</si>
  <si>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</si>
  <si>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</si>
  <si>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</si>
  <si>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</si>
  <si>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</si>
  <si>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</si>
  <si>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</si>
  <si>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</si>
  <si>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</si>
  <si>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</si>
  <si>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</si>
  <si>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</si>
  <si>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</si>
  <si>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</si>
  <si>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</si>
  <si>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</si>
  <si>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</si>
  <si>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</si>
  <si>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</si>
  <si>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</si>
  <si>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</si>
  <si>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</si>
  <si>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</si>
  <si>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</si>
  <si>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</si>
  <si>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</si>
  <si>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</si>
  <si>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</si>
  <si>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</si>
  <si>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</si>
  <si>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</si>
  <si>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</si>
  <si>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</si>
  <si>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</si>
  <si>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</si>
  <si>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</si>
  <si>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</si>
  <si>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</si>
  <si>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</si>
  <si>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</si>
  <si>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</si>
  <si>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</si>
  <si>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</si>
  <si>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</si>
  <si>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</si>
  <si>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</si>
  <si>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</si>
  <si>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</si>
  <si>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</si>
  <si>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</si>
  <si>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</si>
  <si>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</si>
  <si>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</si>
  <si>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</si>
  <si>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</si>
  <si>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</si>
  <si>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</si>
  <si>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</si>
  <si>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</si>
  <si>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</si>
  <si>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</si>
  <si>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</si>
  <si>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</si>
  <si>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</si>
  <si>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</si>
  <si>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</si>
  <si>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</si>
  <si>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</si>
  <si>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</si>
  <si>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</si>
  <si>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</si>
  <si>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</si>
  <si>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</si>
  <si>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</si>
  <si>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</si>
  <si>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</si>
  <si>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</si>
  <si>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</si>
  <si>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</si>
  <si>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</si>
  <si>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</si>
  <si>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</si>
  <si>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</si>
  <si>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</si>
  <si>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</si>
  <si>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</si>
  <si>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</si>
  <si>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</si>
  <si>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</si>
  <si>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</si>
  <si>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</si>
  <si>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</si>
  <si>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</si>
  <si>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</si>
  <si>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</si>
  <si>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</si>
  <si>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</si>
  <si>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</si>
  <si>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</si>
  <si>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</si>
  <si>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</si>
  <si>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</si>
  <si>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</si>
  <si>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</si>
  <si>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</si>
  <si>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</si>
  <si>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</si>
  <si>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</si>
  <si>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</si>
  <si>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</si>
  <si>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</si>
  <si>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</si>
  <si>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</si>
  <si>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</si>
  <si>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</si>
  <si>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</si>
  <si>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</si>
  <si>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</si>
  <si>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</si>
  <si>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</si>
  <si>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</si>
  <si>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</si>
  <si>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</si>
  <si>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</si>
  <si>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</si>
  <si>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</si>
  <si>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</si>
  <si>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</si>
  <si>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</si>
  <si>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</si>
  <si>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</si>
  <si>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</si>
  <si>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</si>
  <si>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</si>
  <si>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</si>
  <si>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</si>
  <si>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</si>
  <si>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</si>
  <si>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</si>
  <si>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</si>
  <si>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</si>
  <si>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</si>
  <si>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</si>
  <si>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</si>
  <si>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</si>
  <si>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</si>
  <si>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</si>
  <si>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</si>
  <si>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</si>
  <si>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</si>
  <si>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</si>
  <si>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</si>
  <si>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</si>
  <si>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</si>
  <si>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</si>
  <si>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</si>
  <si>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</si>
  <si>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</si>
  <si>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</si>
  <si>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</si>
  <si>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</si>
  <si>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</si>
  <si>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</si>
  <si>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</si>
  <si>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</si>
  <si>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</si>
  <si>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</si>
  <si>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</si>
  <si>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</si>
  <si>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</si>
  <si>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</si>
  <si>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</si>
  <si>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</si>
  <si>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</si>
  <si>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</si>
  <si>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</si>
  <si>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</si>
  <si>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</si>
  <si>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</si>
  <si>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</si>
  <si>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</si>
  <si>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</si>
  <si>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</si>
  <si>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</si>
  <si>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</si>
  <si>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</si>
  <si>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</si>
  <si>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</si>
  <si>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</si>
  <si>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</si>
  <si>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</si>
  <si>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</si>
  <si>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</si>
  <si>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</si>
  <si>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</si>
  <si>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</si>
  <si>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</si>
  <si>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</si>
  <si>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</si>
  <si>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</si>
  <si>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</si>
  <si>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</si>
  <si>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</si>
  <si>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</si>
  <si>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</si>
  <si>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</si>
  <si>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</si>
  <si>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</si>
  <si>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</si>
  <si>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</si>
  <si>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</si>
  <si>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</si>
  <si>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</si>
  <si>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</si>
  <si>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</si>
  <si>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</si>
  <si>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</si>
  <si>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</si>
  <si>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</si>
  <si>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</si>
  <si>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</si>
  <si>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</si>
  <si>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</si>
  <si>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</si>
  <si>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</si>
  <si>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</si>
  <si>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</si>
  <si>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</si>
  <si>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</si>
  <si>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</si>
  <si>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</si>
  <si>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</si>
  <si>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</si>
  <si>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</si>
  <si>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</si>
  <si>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</si>
  <si>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</si>
  <si>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</si>
  <si>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</si>
  <si>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</si>
  <si>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</si>
  <si>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</si>
  <si>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</si>
  <si>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</si>
  <si>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</si>
  <si>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</si>
  <si>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</si>
  <si>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</si>
  <si>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</si>
  <si>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</si>
  <si>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</si>
  <si>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</si>
  <si>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</si>
  <si>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</si>
  <si>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</si>
  <si>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</si>
  <si>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</si>
  <si>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</si>
  <si>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</si>
  <si>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</si>
  <si>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</si>
  <si>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</si>
  <si>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</si>
  <si>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</si>
  <si>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</si>
  <si>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</si>
  <si>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</si>
  <si>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</si>
  <si>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</si>
  <si>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</si>
  <si>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</si>
  <si>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</si>
  <si>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</si>
  <si>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</si>
  <si>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</si>
  <si>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</si>
  <si>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</si>
  <si>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</si>
  <si>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</si>
  <si>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</si>
  <si>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</si>
  <si>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</si>
  <si>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</si>
  <si>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</si>
  <si>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</si>
  <si>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</si>
  <si>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</si>
  <si>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</si>
  <si>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</si>
  <si>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</si>
  <si>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</si>
  <si>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</si>
  <si>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</si>
  <si>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</si>
  <si>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</si>
  <si>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</si>
  <si>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</si>
  <si>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</si>
  <si>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</si>
  <si>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</si>
  <si>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</si>
  <si>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</si>
  <si>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</si>
  <si>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</si>
  <si>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</si>
  <si>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</si>
  <si>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</si>
  <si>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</si>
  <si>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</si>
  <si>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</si>
  <si>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</si>
  <si>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</si>
  <si>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</si>
  <si>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</si>
  <si>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</si>
  <si>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</si>
  <si>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</si>
  <si>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</si>
  <si>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</si>
  <si>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</si>
  <si>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</si>
  <si>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</si>
  <si>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</si>
  <si>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</si>
  <si>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</si>
  <si>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</si>
  <si>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</si>
  <si>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</si>
  <si>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</si>
  <si>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</si>
  <si>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</si>
  <si>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</si>
  <si>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</si>
  <si>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</si>
  <si>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</si>
  <si>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</si>
  <si>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</si>
  <si>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</si>
  <si>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</si>
  <si>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</si>
  <si>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</si>
  <si>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</si>
  <si>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</si>
  <si>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</si>
  <si>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</si>
  <si>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</si>
  <si>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</si>
  <si>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</si>
  <si>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</si>
  <si>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</si>
  <si>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</si>
  <si>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</si>
  <si>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</si>
  <si>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</si>
  <si>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</si>
  <si>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</si>
  <si>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</si>
  <si>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</si>
  <si>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</si>
  <si>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</si>
  <si>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</si>
  <si>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</si>
  <si>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</si>
  <si>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</si>
  <si>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</si>
  <si>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</si>
  <si>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</si>
  <si>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</si>
  <si>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</si>
  <si>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</si>
  <si>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</si>
  <si>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</si>
  <si>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</si>
  <si>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</si>
  <si>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</si>
  <si>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</si>
  <si>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</si>
  <si>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</si>
  <si>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</si>
  <si>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</si>
  <si>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</si>
  <si>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</si>
  <si>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</si>
  <si>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</si>
  <si>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</si>
  <si>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</si>
  <si>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</si>
  <si>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</si>
  <si>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</si>
  <si>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</si>
  <si>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</si>
  <si>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</si>
  <si>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</si>
  <si>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</si>
  <si>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</si>
  <si>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</si>
  <si>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</si>
  <si>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</si>
  <si>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</si>
  <si>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</si>
  <si>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</si>
  <si>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</si>
  <si>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</si>
  <si>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</si>
  <si>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</si>
  <si>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</si>
  <si>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</si>
  <si>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</si>
  <si>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</si>
  <si>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</si>
  <si>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</si>
  <si>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</si>
  <si>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</si>
  <si>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</si>
  <si>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</si>
  <si>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</si>
  <si>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</si>
  <si>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</si>
  <si>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</si>
  <si>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</si>
  <si>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</si>
  <si>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</si>
  <si>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</si>
  <si>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</si>
  <si>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</si>
  <si>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</si>
  <si>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</si>
  <si>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</si>
  <si>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</si>
  <si>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</si>
  <si>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</si>
  <si>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</si>
  <si>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</si>
  <si>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</si>
  <si>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</si>
  <si>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</si>
  <si>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</si>
  <si>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</si>
  <si>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</si>
  <si>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</si>
  <si>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</si>
  <si>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</si>
  <si>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</si>
  <si>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</si>
  <si>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</si>
  <si>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</si>
  <si>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</si>
  <si>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</si>
  <si>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</si>
  <si>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</si>
  <si>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</si>
  <si>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</si>
  <si>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</si>
  <si>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</si>
  <si>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</si>
  <si>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</si>
  <si>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</si>
  <si>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</si>
  <si>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</si>
  <si>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</si>
  <si>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</si>
  <si>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</si>
  <si>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</si>
  <si>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</si>
  <si>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</si>
  <si>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</si>
  <si>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</si>
  <si>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</si>
  <si>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</si>
  <si>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</si>
  <si>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</si>
  <si>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</si>
  <si>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</si>
  <si>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</si>
  <si>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</si>
  <si>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</si>
  <si>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</si>
  <si>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</si>
  <si>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</si>
  <si>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</si>
  <si>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</si>
  <si>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</si>
  <si>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</si>
  <si>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</si>
  <si>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</si>
  <si>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</si>
  <si>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</si>
  <si>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</si>
  <si>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</si>
  <si>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</si>
  <si>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</si>
  <si>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</si>
  <si>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</si>
  <si>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</si>
  <si>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</si>
  <si>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</si>
  <si>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</si>
  <si>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</si>
  <si>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</si>
  <si>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</si>
  <si>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</si>
  <si>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</si>
  <si>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</si>
  <si>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</si>
  <si>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</si>
  <si>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</si>
  <si>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</si>
  <si>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</si>
  <si>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</si>
  <si>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</si>
  <si>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</si>
  <si>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</si>
  <si>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</si>
  <si>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</si>
  <si>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</si>
  <si>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</si>
  <si>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</si>
  <si>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</si>
  <si>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</si>
  <si>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</si>
  <si>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</si>
  <si>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</si>
  <si>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</si>
  <si>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</si>
  <si>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</si>
  <si>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</si>
  <si>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</si>
  <si>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</si>
  <si>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</si>
  <si>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</si>
  <si>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</si>
  <si>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</si>
  <si>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</si>
  <si>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</si>
  <si>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</si>
  <si>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</si>
  <si>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</si>
  <si>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</si>
  <si>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</si>
  <si>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</si>
  <si>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</si>
  <si>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</si>
  <si>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</si>
  <si>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</si>
  <si>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</si>
  <si>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</si>
  <si>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</si>
  <si>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</si>
  <si>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</si>
  <si>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</si>
  <si>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</si>
  <si>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</si>
  <si>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</si>
  <si>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</si>
  <si>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</si>
  <si>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</si>
  <si>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</si>
  <si>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</si>
  <si>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</si>
  <si>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</si>
  <si>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</si>
  <si>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</si>
  <si>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</si>
  <si>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</si>
  <si>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</si>
  <si>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</si>
  <si>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</si>
  <si>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</si>
  <si>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</si>
  <si>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</si>
  <si>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</si>
  <si>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</si>
  <si>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</si>
  <si>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</si>
  <si>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</si>
  <si>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</si>
  <si>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</si>
  <si>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</si>
  <si>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</si>
  <si>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</si>
  <si>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</si>
  <si>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</si>
  <si>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</si>
  <si>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</si>
  <si>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</si>
  <si>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</si>
  <si>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</si>
  <si>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</si>
  <si>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</si>
  <si>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</si>
  <si>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</si>
  <si>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</si>
  <si>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</si>
  <si>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</si>
  <si>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</si>
  <si>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</si>
  <si>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</si>
  <si>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</si>
  <si>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</si>
  <si>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</si>
  <si>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</si>
  <si>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</si>
  <si>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</si>
  <si>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</si>
  <si>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</si>
  <si>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</si>
  <si>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</si>
  <si>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</si>
  <si>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</si>
  <si>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</si>
  <si>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</si>
  <si>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</si>
  <si>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</si>
  <si>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</si>
  <si>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</si>
  <si>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</si>
  <si>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</si>
  <si>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</si>
  <si>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</si>
  <si>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</si>
  <si>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</si>
  <si>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</si>
  <si>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</si>
  <si>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</si>
  <si>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</si>
  <si>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</si>
  <si>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</si>
  <si>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</si>
  <si>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</si>
  <si>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</si>
  <si>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</si>
  <si>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</si>
  <si>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</si>
  <si>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</si>
  <si>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</si>
  <si>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</si>
  <si>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</si>
  <si>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</si>
  <si>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</si>
  <si>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</si>
  <si>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</si>
  <si>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</si>
  <si>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</si>
  <si>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</si>
  <si>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</si>
  <si>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</si>
  <si>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</si>
  <si>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</si>
  <si>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</si>
  <si>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</si>
  <si>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</si>
  <si>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</si>
  <si>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</si>
  <si>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</si>
  <si>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</si>
  <si>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</si>
  <si>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</si>
  <si>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</si>
  <si>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</si>
  <si>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</si>
  <si>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</si>
  <si>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</si>
  <si>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</si>
  <si>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</si>
  <si>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</si>
  <si>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</si>
  <si>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</si>
  <si>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</si>
  <si>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</si>
  <si>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</si>
  <si>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</si>
  <si>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</si>
  <si>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</si>
  <si>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</si>
  <si>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</si>
  <si>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</si>
  <si>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</si>
  <si>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</si>
  <si>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</si>
  <si>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</si>
  <si>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</si>
  <si>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</si>
  <si>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</si>
  <si>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</si>
  <si>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</si>
  <si>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</si>
  <si>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</si>
  <si>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</si>
  <si>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</si>
  <si>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</si>
  <si>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</si>
  <si>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</si>
  <si>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</si>
  <si>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</si>
  <si>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</si>
  <si>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</si>
  <si>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</si>
  <si>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</si>
  <si>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</si>
  <si>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</si>
  <si>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</si>
  <si>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</si>
  <si>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</si>
  <si>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</si>
  <si>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</si>
  <si>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</si>
  <si>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</si>
  <si>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</si>
  <si>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</si>
  <si>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</si>
  <si>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</si>
  <si>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</si>
  <si>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</si>
  <si>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</si>
  <si>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</si>
  <si>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</si>
  <si>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</si>
  <si>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</si>
  <si>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</si>
  <si>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</si>
  <si>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</si>
  <si>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</si>
  <si>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</si>
  <si>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</si>
  <si>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</si>
  <si>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</si>
  <si>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</si>
  <si>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</si>
  <si>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</si>
  <si>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</si>
  <si>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</si>
  <si>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</si>
  <si>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</si>
  <si>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</si>
  <si>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</si>
  <si>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</si>
  <si>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</si>
  <si>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</si>
  <si>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</si>
  <si>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</si>
  <si>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</si>
  <si>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</si>
  <si>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</si>
  <si>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</si>
  <si>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</si>
  <si>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</si>
  <si>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</si>
  <si>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</si>
  <si>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</si>
  <si>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</si>
  <si>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</si>
  <si>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</si>
  <si>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</si>
  <si>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</si>
  <si>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</si>
  <si>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</si>
  <si>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</si>
  <si>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</si>
  <si>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</si>
  <si>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</si>
  <si>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</si>
  <si>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</si>
  <si>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</si>
  <si>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</si>
  <si>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</si>
  <si>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</si>
  <si>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</si>
  <si>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</si>
  <si>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</si>
  <si>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</si>
  <si>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</si>
  <si>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</si>
  <si>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</si>
  <si>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</si>
  <si>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</si>
  <si>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</si>
  <si>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</si>
  <si>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</si>
  <si>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</si>
  <si>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</si>
  <si>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</si>
  <si>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</si>
  <si>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</si>
  <si>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</si>
  <si>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</si>
  <si>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</si>
  <si>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</si>
  <si>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</si>
  <si>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</si>
  <si>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</si>
  <si>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</si>
  <si>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</si>
  <si>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</si>
  <si>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</si>
  <si>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</si>
  <si>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</si>
  <si>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</si>
  <si>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</si>
  <si>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</si>
  <si>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</si>
  <si>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</si>
  <si>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</si>
  <si>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</si>
  <si>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</si>
  <si>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</si>
  <si>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</si>
  <si>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</si>
  <si>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</si>
  <si>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</si>
  <si>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</si>
  <si>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</si>
  <si>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</si>
  <si>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</si>
  <si>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</si>
  <si>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</si>
  <si>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</si>
  <si>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</si>
  <si>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</si>
  <si>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</si>
  <si>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</si>
  <si>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</si>
  <si>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</si>
  <si>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</si>
  <si>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</si>
  <si>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</si>
  <si>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</si>
  <si>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</si>
  <si>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</si>
  <si>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</si>
  <si>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</si>
  <si>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</si>
  <si>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</si>
  <si>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</si>
  <si>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</si>
  <si>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</si>
  <si>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</si>
  <si>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</si>
  <si>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</si>
  <si>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</si>
  <si>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</si>
  <si>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</si>
  <si>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</si>
  <si>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</si>
  <si>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</si>
  <si>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</si>
  <si>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</si>
  <si>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</si>
  <si>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</si>
  <si>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</si>
  <si>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</si>
  <si>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</si>
  <si>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</si>
  <si>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</si>
  <si>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</si>
  <si>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</si>
  <si>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</si>
  <si>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</si>
  <si>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</si>
  <si>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</si>
  <si>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</si>
  <si>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</si>
  <si>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</si>
  <si>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</si>
  <si>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</si>
  <si>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</si>
  <si>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</si>
  <si>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</si>
  <si>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</si>
  <si>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</si>
  <si>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</si>
  <si>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</si>
  <si>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</si>
  <si>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</si>
  <si>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</si>
  <si>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</si>
  <si>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</si>
  <si>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</si>
  <si>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</si>
  <si>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</si>
  <si>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</si>
  <si>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</si>
  <si>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</si>
  <si>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</si>
  <si>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</si>
  <si>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</si>
  <si>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</si>
  <si>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</si>
  <si>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</si>
  <si>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</si>
  <si>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</si>
  <si>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</si>
  <si>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</si>
  <si>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</si>
  <si>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</si>
  <si>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</si>
  <si>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</si>
  <si>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</si>
  <si>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</si>
  <si>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</si>
  <si>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</si>
  <si>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</si>
  <si>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</si>
  <si>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</si>
  <si>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</si>
  <si>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</si>
  <si>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</si>
  <si>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</si>
  <si>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</si>
  <si>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</si>
  <si>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</si>
  <si>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</si>
  <si>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</si>
  <si>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</si>
  <si>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</si>
  <si>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</si>
  <si>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</si>
  <si>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</si>
  <si>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</si>
  <si>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</si>
  <si>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</si>
  <si>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</si>
  <si>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</si>
  <si>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</si>
  <si>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</si>
  <si>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</si>
  <si>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</si>
  <si>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</si>
  <si>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</si>
  <si>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</si>
  <si>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</si>
  <si>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</si>
  <si>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</si>
  <si>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</si>
  <si>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</si>
  <si>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</si>
  <si>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</si>
  <si>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</si>
  <si>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</si>
  <si>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</si>
  <si>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</si>
  <si>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</si>
  <si>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</si>
  <si>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</si>
  <si>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</si>
  <si>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</si>
  <si>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</si>
  <si>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</si>
  <si>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</si>
  <si>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</si>
  <si>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</si>
  <si>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</si>
  <si>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</si>
  <si>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</si>
  <si>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</si>
  <si>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</si>
  <si>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</si>
  <si>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</si>
  <si>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</si>
  <si>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</si>
  <si>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</si>
  <si>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</si>
  <si>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</si>
  <si>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</si>
  <si>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</si>
  <si>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</si>
  <si>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</si>
  <si>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</si>
  <si>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</si>
  <si>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</si>
  <si>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</si>
  <si>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</si>
  <si>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</si>
  <si>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</si>
  <si>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</si>
  <si>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</si>
  <si>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</si>
  <si>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</si>
  <si>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</si>
  <si>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</si>
  <si>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</si>
  <si>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</si>
  <si>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</si>
  <si>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</si>
  <si>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</si>
  <si>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</si>
  <si>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</si>
  <si>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</si>
  <si>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</si>
  <si>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</si>
  <si>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</si>
  <si>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</si>
  <si>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</si>
  <si>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</si>
  <si>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</si>
  <si>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</si>
  <si>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</si>
  <si>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</si>
  <si>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</si>
  <si>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</si>
  <si>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</si>
  <si>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</si>
  <si>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</si>
  <si>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</si>
  <si>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</si>
  <si>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</si>
  <si>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</si>
  <si>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</si>
  <si>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</si>
  <si>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</si>
  <si>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</si>
  <si>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</si>
  <si>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</si>
  <si>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</si>
  <si>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</si>
  <si>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</si>
  <si>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</si>
  <si>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</si>
  <si>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</si>
  <si>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</si>
  <si>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</si>
  <si>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</si>
  <si>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</si>
  <si>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</si>
  <si>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</si>
  <si>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</si>
  <si>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</si>
  <si>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</si>
  <si>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</si>
  <si>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</si>
  <si>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</si>
  <si>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</si>
  <si>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</si>
  <si>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</si>
  <si>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</si>
  <si>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</si>
  <si>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</si>
  <si>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</si>
  <si>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</si>
  <si>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</si>
  <si>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</si>
  <si>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</si>
  <si>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</si>
  <si>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</si>
  <si>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</si>
  <si>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</si>
  <si>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</si>
  <si>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</si>
  <si>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</si>
  <si>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</si>
  <si>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</si>
  <si>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</si>
  <si>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</si>
  <si>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</si>
  <si>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</si>
  <si>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</si>
  <si>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</si>
  <si>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</si>
  <si>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</si>
  <si>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</si>
  <si>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</si>
  <si>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</si>
  <si>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</si>
  <si>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</si>
  <si>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</si>
  <si>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</si>
  <si>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</si>
  <si>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</si>
  <si>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</si>
  <si>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</si>
  <si>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</si>
  <si>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</si>
  <si>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</si>
  <si>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</si>
  <si>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</si>
  <si>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</si>
  <si>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</si>
  <si>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</si>
  <si>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</si>
  <si>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</si>
  <si>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</si>
  <si>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</si>
  <si>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</si>
  <si>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</si>
  <si>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</si>
  <si>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</si>
  <si>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</si>
  <si>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</si>
  <si>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</si>
  <si>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</si>
  <si>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</si>
  <si>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</si>
  <si>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</si>
  <si>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</si>
  <si>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</si>
  <si>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</si>
  <si>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</si>
  <si>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</si>
  <si>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</si>
  <si>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</si>
  <si>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</si>
  <si>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</si>
  <si>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</si>
  <si>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</si>
  <si>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</si>
  <si>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</si>
  <si>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</si>
  <si>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</si>
  <si>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</si>
  <si>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</si>
  <si>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</si>
  <si>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</si>
  <si>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</si>
  <si>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</si>
  <si>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</si>
  <si>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</si>
  <si>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</si>
  <si>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</si>
  <si>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</si>
  <si>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</si>
  <si>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</si>
  <si>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</si>
  <si>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</si>
  <si>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</si>
  <si>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</si>
  <si>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</si>
  <si>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</si>
  <si>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</si>
  <si>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</si>
  <si>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</si>
  <si>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</si>
  <si>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</si>
  <si>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</si>
  <si>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</si>
  <si>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</si>
  <si>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</si>
  <si>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</si>
  <si>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</si>
  <si>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</si>
  <si>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</si>
  <si>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</si>
  <si>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</si>
  <si>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</si>
  <si>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</si>
  <si>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</si>
  <si>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</si>
  <si>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</si>
  <si>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</si>
  <si>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</si>
  <si>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</si>
  <si>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</si>
  <si>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</si>
  <si>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</si>
  <si>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</si>
  <si>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</si>
  <si>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</si>
  <si>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</si>
  <si>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</si>
  <si>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</si>
  <si>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</si>
  <si>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</si>
  <si>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</si>
  <si>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</si>
  <si>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</si>
  <si>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</si>
  <si>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</si>
  <si>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</si>
  <si>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</si>
  <si>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</si>
  <si>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</si>
  <si>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</si>
  <si>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</si>
  <si>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</si>
  <si>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</si>
  <si>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</si>
  <si>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</si>
  <si>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</si>
  <si>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</si>
  <si>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</si>
  <si>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</si>
  <si>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</si>
  <si>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</si>
  <si>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</si>
  <si>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</si>
  <si>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</si>
  <si>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</si>
  <si>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</si>
  <si>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</si>
  <si>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</si>
  <si>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</si>
  <si>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</si>
  <si>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</si>
  <si>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</si>
  <si>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</si>
  <si>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</si>
  <si>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</si>
  <si>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</si>
  <si>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</si>
  <si>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</si>
  <si>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</si>
  <si>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</si>
  <si>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</si>
  <si>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</si>
  <si>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</si>
  <si>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</si>
  <si>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</si>
  <si>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</si>
  <si>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</si>
  <si>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</si>
  <si>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</si>
  <si>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</si>
  <si>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</si>
  <si>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</si>
  <si>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</si>
  <si>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</si>
  <si>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</si>
  <si>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</si>
  <si>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</si>
  <si>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</si>
  <si>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</si>
  <si>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</si>
  <si>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</si>
  <si>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</si>
  <si>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</si>
  <si>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</si>
  <si>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</si>
  <si>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</si>
  <si>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</si>
  <si>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</si>
  <si>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</si>
  <si>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</si>
  <si>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</si>
  <si>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</si>
  <si>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</si>
  <si>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</si>
  <si>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</si>
  <si>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</si>
  <si>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</si>
  <si>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</si>
  <si>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</si>
  <si>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</si>
  <si>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</si>
  <si>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</si>
  <si>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</si>
  <si>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</si>
  <si>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</si>
  <si>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</si>
  <si>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</si>
  <si>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</si>
  <si>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</si>
  <si>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</si>
  <si>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</si>
  <si>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</si>
  <si>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</si>
  <si>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</si>
  <si>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</si>
  <si>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</si>
  <si>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</si>
  <si>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</si>
  <si>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</si>
  <si>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</si>
  <si>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</si>
  <si>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</si>
  <si>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</si>
  <si>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</si>
  <si>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</si>
  <si>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</si>
  <si>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</si>
  <si>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</si>
  <si>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</si>
  <si>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</si>
  <si>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</si>
  <si>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</si>
  <si>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</si>
  <si>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</si>
  <si>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</si>
  <si>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</si>
  <si>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</si>
  <si>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</si>
  <si>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</si>
  <si>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</si>
  <si>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</si>
  <si>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</si>
  <si>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</si>
  <si>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</si>
  <si>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</si>
  <si>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</si>
  <si>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</si>
  <si>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</si>
  <si>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</si>
  <si>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</si>
  <si>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</si>
  <si>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</si>
  <si>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</si>
  <si>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</si>
  <si>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</si>
  <si>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</si>
  <si>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</si>
  <si>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</si>
  <si>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</si>
  <si>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</si>
  <si>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</si>
  <si>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</si>
  <si>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</si>
  <si>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</si>
  <si>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</si>
  <si>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</si>
  <si>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</si>
  <si>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</si>
  <si>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</si>
  <si>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</si>
  <si>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</si>
  <si>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</si>
  <si>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</si>
  <si>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</si>
  <si>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</si>
  <si>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</si>
  <si>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</si>
  <si>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</si>
  <si>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</si>
  <si>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</si>
  <si>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</si>
  <si>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</si>
  <si>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</si>
  <si>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</si>
  <si>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</si>
  <si>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</si>
  <si>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</si>
  <si>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</si>
  <si>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</si>
  <si>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</si>
  <si>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</si>
  <si>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</si>
  <si>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</si>
  <si>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</si>
  <si>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</si>
  <si>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</si>
  <si>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</si>
  <si>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</si>
  <si>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</si>
  <si>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</si>
  <si>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</si>
  <si>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</si>
  <si>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</si>
  <si>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</si>
  <si>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</si>
  <si>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</si>
  <si>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</si>
  <si>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</si>
  <si>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</si>
  <si>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</si>
  <si>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</si>
  <si>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</si>
  <si>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</si>
  <si>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</si>
  <si>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</si>
  <si>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</si>
  <si>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</si>
  <si>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</si>
  <si>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</si>
  <si>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</si>
  <si>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</si>
  <si>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</si>
  <si>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</si>
  <si>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</si>
  <si>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</si>
  <si>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</si>
  <si>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</si>
  <si>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</si>
  <si>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</si>
  <si>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</si>
  <si>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</si>
  <si>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</si>
  <si>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</si>
  <si>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</si>
  <si>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</si>
  <si>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</si>
  <si>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</si>
  <si>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</si>
  <si>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</si>
  <si>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</si>
  <si>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</si>
  <si>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</si>
  <si>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</si>
  <si>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</si>
  <si>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</si>
  <si>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</si>
  <si>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</si>
  <si>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</si>
  <si>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</si>
  <si>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</si>
  <si>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</si>
  <si>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</si>
  <si>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</si>
  <si>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</si>
  <si>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</si>
  <si>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</si>
  <si>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</si>
  <si>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</si>
  <si>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</si>
  <si>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</si>
  <si>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</si>
  <si>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</si>
  <si>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</si>
  <si>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</si>
  <si>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</si>
  <si>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</si>
  <si>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</si>
  <si>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</si>
  <si>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</si>
  <si>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</si>
  <si>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</si>
  <si>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</si>
  <si>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</si>
  <si>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</si>
  <si>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</si>
  <si>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</si>
  <si>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</si>
  <si>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</si>
  <si>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</si>
  <si>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</si>
  <si>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</si>
  <si>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</si>
  <si>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</si>
  <si>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</si>
  <si>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</si>
  <si>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</si>
  <si>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</si>
  <si>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</si>
  <si>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</si>
  <si>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</si>
  <si>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</si>
  <si>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</si>
  <si>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</si>
  <si>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</si>
  <si>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</si>
  <si>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</si>
  <si>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</si>
  <si>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</si>
  <si>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</si>
  <si>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</si>
  <si>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</si>
  <si>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</si>
  <si>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</si>
  <si>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</si>
  <si>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</si>
  <si>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</si>
  <si>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</si>
  <si>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</si>
  <si>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</si>
  <si>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</si>
  <si>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</si>
  <si>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</si>
  <si>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</si>
  <si>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</si>
  <si>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</si>
  <si>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</si>
  <si>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</si>
  <si>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</si>
  <si>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</si>
  <si>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</si>
  <si>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</si>
  <si>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</si>
  <si>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</si>
  <si>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</si>
  <si>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</si>
  <si>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</si>
  <si>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</si>
  <si>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</si>
  <si>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</si>
  <si>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</si>
  <si>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</si>
  <si>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</si>
  <si>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</si>
  <si>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</si>
  <si>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</si>
  <si>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</si>
  <si>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</si>
  <si>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</si>
  <si>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</si>
  <si>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</si>
  <si>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</si>
  <si>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</si>
  <si>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</si>
  <si>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</si>
  <si>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</si>
  <si>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</si>
  <si>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</si>
  <si>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</si>
  <si>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</si>
  <si>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</si>
  <si>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</si>
  <si>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</si>
  <si>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</si>
  <si>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</si>
  <si>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</si>
  <si>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</si>
  <si>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</si>
  <si>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</si>
  <si>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</si>
  <si>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</si>
  <si>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</si>
  <si>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</si>
  <si>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</si>
  <si>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</si>
  <si>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</si>
  <si>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</si>
  <si>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</si>
  <si>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</si>
  <si>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</si>
  <si>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</si>
  <si>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</si>
  <si>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</si>
  <si>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</si>
  <si>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</si>
  <si>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</si>
  <si>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</si>
  <si>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</si>
  <si>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</si>
  <si>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</si>
  <si>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</si>
  <si>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</si>
  <si>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</si>
  <si>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</si>
  <si>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</si>
  <si>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</si>
  <si>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</si>
  <si>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</si>
  <si>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</si>
  <si>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</si>
  <si>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</si>
  <si>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</si>
  <si>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</si>
  <si>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</si>
  <si>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</si>
  <si>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</si>
  <si>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</si>
  <si>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</si>
  <si>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</si>
  <si>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</si>
  <si>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</si>
  <si>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</si>
  <si>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</si>
  <si>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</si>
  <si>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</si>
  <si>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</si>
  <si>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</si>
  <si>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</si>
  <si>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</si>
  <si>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</si>
  <si>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</si>
  <si>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</si>
  <si>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</si>
  <si>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</si>
  <si>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</si>
  <si>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</si>
  <si>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</si>
  <si>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</si>
  <si>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</si>
  <si>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</si>
  <si>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</si>
  <si>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</si>
  <si>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</si>
  <si>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</si>
  <si>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</si>
  <si>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</si>
  <si>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</si>
  <si>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</si>
  <si>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</si>
  <si>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</si>
  <si>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</si>
  <si>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</si>
  <si>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</si>
  <si>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</si>
  <si>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</si>
  <si>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</si>
  <si>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</si>
  <si>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</si>
  <si>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</si>
  <si>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</si>
  <si>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</si>
  <si>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</si>
  <si>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</si>
  <si>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</si>
  <si>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</si>
  <si>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</si>
  <si>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</si>
  <si>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</si>
  <si>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</si>
  <si>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</si>
  <si>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</si>
  <si>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</si>
  <si>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</si>
  <si>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</si>
  <si>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</si>
  <si>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</si>
  <si>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</si>
  <si>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</si>
  <si>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</si>
  <si>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</si>
  <si>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</si>
  <si>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</si>
  <si>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</si>
  <si>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</si>
  <si>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</si>
  <si>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</si>
  <si>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</si>
  <si>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</si>
  <si>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</si>
  <si>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</si>
  <si>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</si>
  <si>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</si>
  <si>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</si>
  <si>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</si>
  <si>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</si>
  <si>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</si>
  <si>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</si>
  <si>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</si>
  <si>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</si>
  <si>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</si>
  <si>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</si>
  <si>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</si>
  <si>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</si>
  <si>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</si>
  <si>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</si>
  <si>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</si>
  <si>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</si>
  <si>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</si>
  <si>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</si>
  <si>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</si>
  <si>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</si>
  <si>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</si>
  <si>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</si>
  <si>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</si>
  <si>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</si>
  <si>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</si>
  <si>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</si>
  <si>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</si>
  <si>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</si>
  <si>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</si>
  <si>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</si>
  <si>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</si>
  <si>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</si>
  <si>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</si>
  <si>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</si>
  <si>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</si>
  <si>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</si>
  <si>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</si>
  <si>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</si>
  <si>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</si>
  <si>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</si>
  <si>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</si>
  <si>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</si>
  <si>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</si>
  <si>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</si>
  <si>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</si>
  <si>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</si>
  <si>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</si>
  <si>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</si>
  <si>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</si>
  <si>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</si>
  <si>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</si>
  <si>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</si>
  <si>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</si>
  <si>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</si>
  <si>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</si>
  <si>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</si>
  <si>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</si>
  <si>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</si>
  <si>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</si>
  <si>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</si>
  <si>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</si>
  <si>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</si>
  <si>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</si>
  <si>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</si>
  <si>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</si>
  <si>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</si>
  <si>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</si>
  <si>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</si>
  <si>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</si>
  <si>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</si>
  <si>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</si>
  <si>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</si>
  <si>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</si>
  <si>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</si>
  <si>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</si>
  <si>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</si>
  <si>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</si>
  <si>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</si>
  <si>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</si>
  <si>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</si>
  <si>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</si>
  <si>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</si>
  <si>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</si>
  <si>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</si>
  <si>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</si>
  <si>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</si>
  <si>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</si>
  <si>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</si>
  <si>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</si>
  <si>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</si>
  <si>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</si>
  <si>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</si>
  <si>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</si>
  <si>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</si>
  <si>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</si>
  <si>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</si>
  <si>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</si>
  <si>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</si>
  <si>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</si>
  <si>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</si>
  <si>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</si>
  <si>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</si>
  <si>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</si>
  <si>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</si>
  <si>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</si>
  <si>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</si>
  <si>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</si>
  <si>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</si>
  <si>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</si>
  <si>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</si>
  <si>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</si>
  <si>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</si>
  <si>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</si>
  <si>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</si>
  <si>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</si>
  <si>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</si>
  <si>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</si>
  <si>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</si>
  <si>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</si>
  <si>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</si>
  <si>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</si>
  <si>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</si>
  <si>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</si>
  <si>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</si>
  <si>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</si>
  <si>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</si>
  <si>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</si>
  <si>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</si>
  <si>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</si>
  <si>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</si>
  <si>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</si>
  <si>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</si>
  <si>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</si>
  <si>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</si>
  <si>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</si>
  <si>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</si>
  <si>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</si>
  <si>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</si>
  <si>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</si>
  <si>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</si>
  <si>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</si>
  <si>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</si>
  <si>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</si>
  <si>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</si>
  <si>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</si>
  <si>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</si>
  <si>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</si>
  <si>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</si>
  <si>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</si>
  <si>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</si>
  <si>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</si>
  <si>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</si>
  <si>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</si>
  <si>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</si>
  <si>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</si>
  <si>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</si>
  <si>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</si>
  <si>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</si>
  <si>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</si>
  <si>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</si>
  <si>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</si>
  <si>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</si>
  <si>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</si>
  <si>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</si>
  <si>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</si>
  <si>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</si>
  <si>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</si>
  <si>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</si>
  <si>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</si>
  <si>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</si>
  <si>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</si>
  <si>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</si>
  <si>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</si>
  <si>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</si>
  <si>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</si>
  <si>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</si>
  <si>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</si>
  <si>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</si>
  <si>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</si>
  <si>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</si>
  <si>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</si>
  <si>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</si>
  <si>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</si>
  <si>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</si>
  <si>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</si>
  <si>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</si>
  <si>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</si>
  <si>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</si>
  <si>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</si>
  <si>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</si>
  <si>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</si>
  <si>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</si>
  <si>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</si>
  <si>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</si>
  <si>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</si>
  <si>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</si>
  <si>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</si>
  <si>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</si>
  <si>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</si>
  <si>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</si>
  <si>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</si>
  <si>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</si>
  <si>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</si>
  <si>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</si>
  <si>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</si>
  <si>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</si>
  <si>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</si>
  <si>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</si>
  <si>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</si>
  <si>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</si>
  <si>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</si>
  <si>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</si>
  <si>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</si>
  <si>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</si>
  <si>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</si>
  <si>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</si>
  <si>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</si>
  <si>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</si>
  <si>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</si>
  <si>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</si>
  <si>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</si>
  <si>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</si>
  <si>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</si>
  <si>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</si>
  <si>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</si>
  <si>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</si>
  <si>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</si>
  <si>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</si>
  <si>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</si>
  <si>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</si>
  <si>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</si>
  <si>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</si>
  <si>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</si>
  <si>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</si>
  <si>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</si>
  <si>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</si>
  <si>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</si>
  <si>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</si>
  <si>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</si>
  <si>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</si>
  <si>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</si>
  <si>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</si>
  <si>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</si>
  <si>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</si>
  <si>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</si>
  <si>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</si>
  <si>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</si>
  <si>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</si>
  <si>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</si>
  <si>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</si>
  <si>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</si>
  <si>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</si>
  <si>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</si>
  <si>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</si>
  <si>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</si>
  <si>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</si>
  <si>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</si>
  <si>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</si>
  <si>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</si>
  <si>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</si>
  <si>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</si>
  <si>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</si>
  <si>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</si>
  <si>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</si>
  <si>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</si>
  <si>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</si>
  <si>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</si>
  <si>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</si>
  <si>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</si>
  <si>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</si>
  <si>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</si>
  <si>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</si>
  <si>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</si>
  <si>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</si>
  <si>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</si>
  <si>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</si>
  <si>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</si>
  <si>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</si>
  <si>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</si>
  <si>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</si>
  <si>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</si>
  <si>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</si>
  <si>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</si>
  <si>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</si>
  <si>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</si>
  <si>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</si>
  <si>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</si>
  <si>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</si>
  <si>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</si>
  <si>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</si>
  <si>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</si>
  <si>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</si>
  <si>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</si>
  <si>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</si>
  <si>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</si>
  <si>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</si>
  <si>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</si>
  <si>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</si>
  <si>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</si>
  <si>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</si>
  <si>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</si>
  <si>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</si>
  <si>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</si>
  <si>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</si>
  <si>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</si>
  <si>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</si>
  <si>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</si>
  <si>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</si>
  <si>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</si>
  <si>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</si>
  <si>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</si>
  <si>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</si>
  <si>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</si>
  <si>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</si>
  <si>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</si>
  <si>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</si>
  <si>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</si>
  <si>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</si>
  <si>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</si>
  <si>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</si>
  <si>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</si>
  <si>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</si>
  <si>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</si>
  <si>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</si>
  <si>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</si>
  <si>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</si>
  <si>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</si>
  <si>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</si>
  <si>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</si>
  <si>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</si>
  <si>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</si>
  <si>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</si>
  <si>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</si>
  <si>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</si>
  <si>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</si>
  <si>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</si>
  <si>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</si>
  <si>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</si>
  <si>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</si>
  <si>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</si>
  <si>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</si>
  <si>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</si>
  <si>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</si>
  <si>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</si>
  <si>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</si>
  <si>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</si>
  <si>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</si>
  <si>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</si>
  <si>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</si>
  <si>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</si>
  <si>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</si>
  <si>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</si>
  <si>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</si>
  <si>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</si>
  <si>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</si>
  <si>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</si>
  <si>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</si>
  <si>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</si>
  <si>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</si>
  <si>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</si>
  <si>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</si>
  <si>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</si>
  <si>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</si>
  <si>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</si>
  <si>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</si>
  <si>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</si>
  <si>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</si>
  <si>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</si>
  <si>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</si>
  <si>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</si>
  <si>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</si>
  <si>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</si>
  <si>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</si>
  <si>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</si>
  <si>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</si>
  <si>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</si>
  <si>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</si>
  <si>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</si>
  <si>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</si>
  <si>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</si>
  <si>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</si>
  <si>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</si>
  <si>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</si>
  <si>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</si>
  <si>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</si>
  <si>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</si>
  <si>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</si>
  <si>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</si>
  <si>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</si>
  <si>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</si>
  <si>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</si>
  <si>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</si>
  <si>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</si>
  <si>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</si>
  <si>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</si>
  <si>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</si>
  <si>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</si>
  <si>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</si>
  <si>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</si>
  <si>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</si>
  <si>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</si>
  <si>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</si>
  <si>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</si>
  <si>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</si>
  <si>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</si>
  <si>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</si>
  <si>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</si>
  <si>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</si>
  <si>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</si>
  <si>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</si>
  <si>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</si>
  <si>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</si>
  <si>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</si>
  <si>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</si>
  <si>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</si>
  <si>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</si>
  <si>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</si>
  <si>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</si>
  <si>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</si>
  <si>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</si>
  <si>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</si>
  <si>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</si>
  <si>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</si>
  <si>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</si>
  <si>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</si>
  <si>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</si>
  <si>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</si>
  <si>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</si>
  <si>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</si>
  <si>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</si>
  <si>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</si>
  <si>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</si>
  <si>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</si>
  <si>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</si>
  <si>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</si>
  <si>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</si>
  <si>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</si>
  <si>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</si>
  <si>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</si>
  <si>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</si>
  <si>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</si>
  <si>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</si>
  <si>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</si>
  <si>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</si>
  <si>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</si>
  <si>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</si>
  <si>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</si>
  <si>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</si>
  <si>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</si>
  <si>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</si>
  <si>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</si>
  <si>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</si>
  <si>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</si>
  <si>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</si>
  <si>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</si>
  <si>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</si>
  <si>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</si>
  <si>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</si>
  <si>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</si>
  <si>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</si>
  <si>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</si>
  <si>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</si>
  <si>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</si>
  <si>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</si>
  <si>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</si>
  <si>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</si>
  <si>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</si>
  <si>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</si>
  <si>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</si>
  <si>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</si>
  <si>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</si>
  <si>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</si>
  <si>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</si>
  <si>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</si>
  <si>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</si>
  <si>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</si>
  <si>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</si>
  <si>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</si>
  <si>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</si>
  <si>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</si>
  <si>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</si>
  <si>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</si>
  <si>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</si>
  <si>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</si>
  <si>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</si>
  <si>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</si>
  <si>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</si>
  <si>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</si>
  <si>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</si>
  <si>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</si>
  <si>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</si>
  <si>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</si>
  <si>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</si>
  <si>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</si>
  <si>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</si>
  <si>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</si>
  <si>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</si>
  <si>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</si>
  <si>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</si>
  <si>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</si>
  <si>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</si>
  <si>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</si>
  <si>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</si>
  <si>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</si>
  <si>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</si>
  <si>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</si>
  <si>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</si>
  <si>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</si>
  <si>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</si>
  <si>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</si>
  <si>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</si>
  <si>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</si>
  <si>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</si>
  <si>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</si>
  <si>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</si>
  <si>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</si>
  <si>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</si>
  <si>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</si>
  <si>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</si>
  <si>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</si>
  <si>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</si>
  <si>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</si>
  <si>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</si>
  <si>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</si>
  <si>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</si>
  <si>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</si>
  <si>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</si>
  <si>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</si>
  <si>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</si>
  <si>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</si>
  <si>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</si>
  <si>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</si>
  <si>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</si>
  <si>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</si>
  <si>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</si>
  <si>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</si>
  <si>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</si>
  <si>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</si>
  <si>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</si>
  <si>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</si>
  <si>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</si>
  <si>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</si>
  <si>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</si>
  <si>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</si>
  <si>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</si>
  <si>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</si>
  <si>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</si>
  <si>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</si>
  <si>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</si>
  <si>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</si>
  <si>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</si>
  <si>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</si>
  <si>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</si>
  <si>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</si>
  <si>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</si>
  <si>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</si>
  <si>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</si>
  <si>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</si>
  <si>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</si>
  <si>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</si>
  <si>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</si>
  <si>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</si>
  <si>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</si>
  <si>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</si>
  <si>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</si>
  <si>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</si>
  <si>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</si>
  <si>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</si>
  <si>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</si>
  <si>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</si>
  <si>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</si>
  <si>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</si>
  <si>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</si>
  <si>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</si>
  <si>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</si>
  <si>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</si>
  <si>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</si>
  <si>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</si>
  <si>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Τίτλος του έργου</t>
  </si>
  <si>
    <t>Продължителност на проекта</t>
  </si>
  <si>
    <t>Doba trvání projektu</t>
  </si>
  <si>
    <t>Projektets varighed</t>
  </si>
  <si>
    <t>Διάρκεια του έργου</t>
  </si>
  <si>
    <t>Ключови думи</t>
  </si>
  <si>
    <t>Klíčová slova</t>
  </si>
  <si>
    <t>Nøgleord</t>
  </si>
  <si>
    <t>Λέξεις-κλειδιά</t>
  </si>
  <si>
    <t>Ключова дума</t>
  </si>
  <si>
    <t>Klíčové slovo</t>
  </si>
  <si>
    <t>Schlüsselbegriff</t>
  </si>
  <si>
    <t>Λέξη-κλειδί</t>
  </si>
  <si>
    <t>Цел(и) на  проекта</t>
  </si>
  <si>
    <t>Účel (Účely)  projektu</t>
  </si>
  <si>
    <t>Formål med projektet</t>
  </si>
  <si>
    <t>Projektziel(e)</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</si>
  <si>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</si>
  <si>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</si>
  <si>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</si>
  <si>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</si>
  <si>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</si>
  <si>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</si>
  <si>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</si>
  <si>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</si>
  <si>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</si>
  <si>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</si>
  <si>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</si>
  <si>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</si>
  <si>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</si>
  <si>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</si>
  <si>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</si>
  <si>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</si>
  <si>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</si>
  <si>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</si>
  <si>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</si>
  <si>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</si>
  <si>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</si>
  <si>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</si>
  <si>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</si>
  <si>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</si>
  <si>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</si>
  <si>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</si>
  <si>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</si>
  <si>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</si>
  <si>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</si>
  <si>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</si>
  <si>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</si>
  <si>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</si>
  <si>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</si>
  <si>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</si>
  <si>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</si>
  <si>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</si>
  <si>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</si>
  <si>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</si>
  <si>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</si>
  <si>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</si>
  <si>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</si>
  <si>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</si>
  <si>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</si>
  <si>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</si>
  <si>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</si>
  <si>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</si>
  <si>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</si>
  <si>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</si>
  <si>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</si>
  <si>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</si>
  <si>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</si>
  <si>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</si>
  <si>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</si>
  <si>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</si>
  <si>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</si>
  <si>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</si>
  <si>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</si>
  <si>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</si>
  <si>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</si>
  <si>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</si>
  <si>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</si>
  <si>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</si>
  <si>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</si>
  <si>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</si>
  <si>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</si>
  <si>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</si>
  <si>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</si>
  <si>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</si>
  <si>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</si>
  <si>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</si>
  <si>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</si>
  <si>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</si>
  <si>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</si>
  <si>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</si>
  <si>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</si>
  <si>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</si>
  <si>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</si>
  <si>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</si>
  <si>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</si>
  <si>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</si>
  <si>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</si>
  <si>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</si>
  <si>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</si>
  <si>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</si>
  <si>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</si>
  <si>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</si>
  <si>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</si>
  <si>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</si>
  <si>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</si>
  <si>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</si>
  <si>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Αντικατάσταση</t>
  </si>
  <si>
    <t>2. Намаляване</t>
  </si>
  <si>
    <t>2. Omezení</t>
  </si>
  <si>
    <t>2. Reduktion</t>
  </si>
  <si>
    <t>2. Μείωση</t>
  </si>
  <si>
    <t>3. Облекчаване</t>
  </si>
  <si>
    <t>3. Šetrné zacházení</t>
  </si>
  <si>
    <t>3. Forfinelse</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</si>
  <si>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</si>
  <si>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</si>
  <si>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</si>
  <si>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</si>
  <si>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</si>
  <si>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</si>
  <si>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</si>
  <si>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</si>
  <si>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</si>
  <si>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</si>
  <si>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</si>
  <si>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</si>
  <si>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</si>
  <si>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</si>
  <si>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</si>
  <si>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</si>
  <si>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</si>
  <si>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</si>
  <si>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</si>
  <si>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</si>
  <si>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</si>
  <si>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</si>
  <si>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</si>
  <si>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</si>
  <si>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</si>
  <si>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</si>
  <si>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</si>
  <si>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</si>
  <si>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</si>
  <si>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</si>
  <si>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</si>
  <si>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</si>
  <si>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</si>
  <si>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</si>
  <si>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</si>
  <si>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</si>
  <si>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</si>
  <si>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</si>
  <si>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</si>
  <si>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</si>
  <si>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</si>
  <si>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</si>
  <si>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</si>
  <si>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</si>
  <si>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</si>
  <si>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</si>
  <si>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</si>
  <si>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</si>
  <si>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</si>
  <si>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</si>
  <si>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</si>
  <si>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</si>
  <si>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</si>
  <si>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</si>
  <si>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</si>
  <si>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</si>
  <si>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</si>
  <si>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</si>
  <si>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</si>
  <si>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</si>
  <si>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</si>
  <si>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</si>
  <si>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</si>
  <si>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</si>
  <si>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</si>
  <si>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</si>
  <si>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</si>
  <si>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</si>
  <si>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</si>
  <si>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</si>
  <si>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</si>
  <si>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</si>
  <si>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</si>
  <si>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</si>
  <si>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</si>
  <si>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</si>
  <si>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</si>
  <si>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</si>
  <si>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</si>
  <si>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</si>
  <si>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</si>
  <si>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</si>
  <si>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</si>
  <si>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</si>
  <si>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</si>
  <si>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</si>
  <si>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</si>
  <si>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</si>
  <si>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</si>
  <si>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</si>
  <si>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</si>
  <si>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</si>
  <si>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</si>
  <si>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</si>
  <si>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</si>
  <si>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</si>
  <si>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</si>
  <si>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</si>
  <si>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</si>
  <si>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</si>
  <si>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</si>
  <si>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</si>
  <si>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</si>
  <si>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</si>
  <si>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</si>
  <si>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</si>
  <si>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</si>
  <si>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</si>
  <si>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</si>
  <si>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</si>
  <si>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</si>
  <si>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</si>
  <si>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</si>
  <si>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</si>
  <si>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</si>
  <si>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</si>
  <si>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</si>
  <si>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</si>
  <si>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</si>
  <si>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</si>
  <si>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</si>
  <si>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</si>
  <si>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</si>
  <si>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</si>
  <si>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</si>
  <si>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</si>
  <si>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</si>
  <si>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</si>
  <si>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</si>
  <si>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</si>
  <si>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</si>
  <si>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</si>
  <si>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</si>
  <si>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</si>
  <si>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</si>
  <si>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</si>
  <si>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</si>
  <si>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</si>
  <si>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</si>
  <si>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</si>
  <si>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</si>
  <si>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</si>
  <si>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</si>
  <si>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</si>
  <si>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</si>
  <si>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</si>
  <si>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</si>
  <si>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</si>
  <si>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</si>
  <si>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</si>
  <si>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</si>
  <si>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</si>
  <si>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</si>
  <si>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</si>
  <si>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</si>
  <si>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</si>
  <si>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</si>
  <si>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</si>
  <si>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</si>
  <si>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</si>
  <si>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</si>
  <si>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</si>
  <si>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</si>
  <si>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</si>
  <si>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</si>
  <si>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</si>
  <si>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</si>
  <si>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</si>
  <si>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</si>
  <si>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</si>
  <si>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</si>
  <si>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</si>
  <si>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</si>
  <si>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</si>
  <si>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</si>
  <si>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</si>
  <si>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</si>
  <si>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</si>
  <si>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</si>
  <si>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</si>
  <si>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</si>
  <si>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</si>
  <si>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</si>
  <si>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</si>
  <si>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</si>
  <si>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</si>
  <si>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</si>
  <si>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</si>
  <si>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</si>
  <si>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</si>
  <si>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</si>
  <si>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</si>
  <si>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</si>
  <si>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</si>
  <si>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</si>
  <si>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</si>
  <si>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</si>
  <si>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</si>
  <si>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</si>
  <si>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</si>
  <si>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</si>
  <si>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</si>
  <si>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</si>
  <si>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</si>
  <si>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</si>
  <si>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</si>
  <si>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</si>
  <si>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</si>
  <si>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</si>
  <si>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</si>
  <si>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</si>
  <si>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</si>
  <si>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</si>
  <si>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</si>
  <si>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</si>
  <si>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</si>
  <si>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</si>
  <si>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</si>
  <si>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</si>
  <si>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</si>
  <si>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</si>
  <si>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</si>
  <si>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</si>
  <si>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</si>
  <si>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</si>
  <si>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</si>
  <si>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</si>
  <si>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</si>
  <si>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</si>
  <si>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</si>
  <si>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</si>
  <si>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</si>
  <si>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</si>
  <si>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</si>
  <si>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</si>
  <si>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</si>
  <si>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</si>
  <si>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</si>
  <si>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</si>
  <si>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</si>
  <si>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</si>
  <si>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</si>
  <si>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</si>
  <si>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</si>
  <si>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</si>
  <si>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</si>
  <si>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</si>
  <si>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</si>
  <si>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</si>
  <si>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</si>
  <si>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</si>
  <si>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</si>
  <si>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</si>
  <si>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</si>
  <si>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</si>
  <si>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</si>
  <si>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</si>
  <si>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</si>
  <si>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</si>
  <si>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</si>
  <si>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</si>
  <si>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</si>
  <si>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</si>
  <si>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</si>
  <si>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</si>
  <si>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</si>
  <si>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</si>
  <si>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</si>
  <si>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</si>
  <si>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</si>
  <si>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</si>
  <si>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</si>
  <si>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</si>
  <si>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</si>
  <si>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</si>
  <si>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</si>
  <si>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</si>
  <si>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</si>
  <si>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</si>
  <si>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</si>
  <si>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</si>
  <si>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</si>
  <si>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</si>
  <si>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</si>
  <si>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</si>
  <si>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</si>
  <si>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</si>
  <si>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</si>
  <si>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</si>
  <si>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</si>
  <si>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</si>
  <si>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</si>
  <si>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</si>
  <si>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</si>
  <si>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</si>
  <si>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</si>
  <si>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</si>
  <si>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</si>
  <si>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</si>
  <si>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</si>
  <si>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</si>
  <si>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</si>
  <si>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</si>
  <si>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</si>
  <si>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</si>
  <si>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</si>
  <si>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</si>
  <si>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</si>
  <si>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</si>
  <si>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</si>
  <si>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</si>
  <si>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</si>
  <si>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</si>
  <si>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</si>
  <si>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</si>
  <si>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</si>
  <si>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</si>
  <si>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</si>
  <si>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</si>
  <si>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</si>
  <si>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</si>
  <si>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</si>
  <si>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</si>
  <si>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</si>
  <si>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</si>
  <si>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</si>
  <si>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</si>
  <si>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</si>
  <si>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</si>
  <si>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</si>
  <si>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</si>
  <si>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</si>
  <si>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</si>
  <si>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</si>
  <si>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</si>
  <si>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</si>
  <si>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</si>
  <si>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</si>
  <si>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</si>
  <si>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</si>
  <si>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</si>
  <si>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</si>
  <si>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</si>
  <si>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</si>
  <si>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</si>
  <si>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</si>
  <si>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</si>
  <si>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</si>
  <si>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</si>
  <si>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</si>
  <si>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</si>
  <si>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</si>
  <si>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</si>
  <si>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</si>
  <si>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</si>
  <si>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</si>
  <si>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</si>
  <si>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</si>
  <si>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</si>
  <si>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</si>
  <si>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</si>
  <si>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</si>
  <si>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</si>
  <si>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</si>
  <si>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</si>
  <si>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</si>
  <si>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</si>
  <si>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</si>
  <si>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</si>
  <si>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</si>
  <si>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</si>
  <si>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</si>
  <si>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</si>
  <si>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</si>
  <si>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</si>
  <si>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</si>
  <si>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</si>
  <si>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</si>
  <si>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</si>
  <si>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</si>
  <si>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</si>
  <si>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</si>
  <si>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</si>
  <si>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</si>
  <si>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</si>
  <si>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</si>
  <si>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</si>
  <si>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</si>
  <si>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</si>
  <si>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</si>
  <si>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</si>
  <si>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</si>
  <si>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</si>
  <si>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</si>
  <si>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</si>
  <si>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</si>
  <si>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</si>
  <si>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</si>
  <si>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</si>
  <si>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</si>
  <si>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</si>
  <si>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</si>
  <si>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</si>
  <si>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</si>
  <si>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</si>
  <si>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</si>
  <si>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</si>
  <si>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</si>
  <si>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</si>
  <si>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</si>
  <si>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</si>
  <si>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</si>
  <si>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</si>
  <si>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</si>
  <si>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</si>
  <si>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</si>
  <si>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</si>
  <si>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</si>
  <si>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</si>
  <si>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</si>
  <si>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</si>
  <si>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</si>
  <si>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</si>
  <si>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</si>
  <si>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</si>
  <si>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</si>
  <si>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</si>
  <si>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</si>
  <si>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</si>
  <si>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</si>
  <si>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</si>
  <si>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</si>
  <si>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</si>
  <si>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</si>
  <si>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</si>
  <si>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</si>
  <si>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</si>
  <si>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</si>
  <si>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</si>
  <si>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</si>
  <si>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</si>
  <si>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</si>
  <si>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</si>
  <si>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</si>
  <si>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</si>
  <si>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</si>
  <si>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</si>
  <si>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</si>
  <si>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</si>
  <si>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</si>
  <si>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</si>
  <si>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</si>
  <si>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</si>
  <si>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</si>
  <si>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</si>
  <si>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</si>
  <si>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</si>
  <si>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</si>
  <si>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</si>
  <si>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</si>
  <si>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</si>
  <si>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</si>
  <si>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</si>
  <si>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</si>
  <si>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</si>
  <si>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</si>
  <si>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</si>
  <si>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</si>
  <si>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</si>
  <si>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</si>
  <si>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</si>
  <si>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</si>
  <si>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</si>
  <si>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</si>
  <si>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</si>
  <si>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</si>
  <si>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</si>
  <si>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</si>
  <si>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</si>
  <si>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</si>
  <si>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</si>
  <si>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</si>
  <si>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</si>
  <si>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</si>
  <si>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</si>
  <si>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</si>
  <si>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</si>
  <si>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</si>
  <si>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</si>
  <si>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</si>
  <si>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</si>
  <si>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</si>
  <si>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</si>
  <si>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</si>
  <si>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</si>
  <si>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</si>
  <si>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</si>
  <si>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</si>
  <si>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</si>
  <si>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</si>
  <si>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</si>
  <si>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</si>
  <si>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</si>
  <si>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</si>
  <si>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</si>
  <si>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</si>
  <si>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</si>
  <si>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</si>
  <si>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</si>
  <si>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</si>
  <si>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</si>
  <si>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</si>
  <si>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</si>
  <si>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</si>
  <si>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</si>
  <si>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</si>
  <si>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</si>
  <si>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</si>
  <si>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</si>
  <si>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</si>
  <si>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</si>
  <si>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</si>
  <si>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</si>
  <si>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</si>
  <si>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</si>
  <si>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</si>
  <si>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</si>
  <si>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</si>
  <si>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</si>
  <si>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</si>
  <si>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</si>
  <si>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</si>
  <si>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</si>
  <si>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</si>
  <si>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</si>
  <si>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</si>
  <si>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</si>
  <si>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</si>
  <si>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</si>
  <si>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</si>
  <si>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</si>
  <si>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</si>
  <si>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</si>
  <si>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</si>
  <si>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</si>
  <si>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</si>
  <si>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</si>
  <si>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</si>
  <si>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</si>
  <si>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</si>
  <si>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</si>
  <si>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</si>
  <si>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</si>
  <si>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</si>
  <si>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</si>
  <si>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</si>
  <si>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</si>
  <si>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</si>
  <si>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</si>
  <si>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</si>
  <si>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</si>
  <si>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</si>
  <si>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</si>
  <si>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</si>
  <si>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</si>
  <si>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</si>
  <si>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</si>
  <si>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</si>
  <si>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</si>
  <si>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</si>
  <si>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</si>
  <si>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</si>
  <si>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</si>
  <si>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</si>
  <si>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</si>
  <si>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</si>
  <si>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</si>
  <si>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</si>
  <si>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</si>
  <si>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</si>
  <si>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</si>
  <si>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</si>
  <si>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</si>
  <si>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</si>
  <si>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</si>
  <si>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</si>
  <si>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</si>
  <si>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</si>
  <si>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</si>
  <si>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</si>
  <si>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</si>
  <si>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</si>
  <si>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</si>
  <si>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</si>
  <si>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</si>
  <si>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</si>
  <si>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</si>
  <si>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</si>
  <si>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</si>
  <si>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</si>
  <si>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</si>
  <si>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</si>
  <si>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</si>
  <si>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</si>
  <si>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</si>
  <si>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</si>
  <si>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</si>
  <si>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</si>
  <si>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</si>
  <si>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</si>
  <si>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</si>
  <si>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</si>
  <si>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</si>
  <si>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</si>
  <si>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</si>
  <si>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</si>
  <si>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</si>
  <si>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</si>
  <si>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</si>
  <si>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</si>
  <si>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</si>
  <si>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</si>
  <si>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</si>
  <si>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</si>
  <si>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</si>
  <si>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</si>
  <si>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</si>
  <si>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</si>
  <si>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</si>
  <si>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</si>
  <si>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</si>
  <si>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</si>
  <si>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</si>
  <si>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</si>
  <si>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</si>
  <si>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</si>
  <si>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</si>
  <si>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</si>
  <si>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</si>
  <si>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</si>
  <si>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</si>
  <si>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</si>
  <si>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</si>
  <si>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</si>
  <si>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</si>
  <si>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</si>
  <si>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</si>
  <si>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</si>
  <si>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</si>
  <si>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</si>
  <si>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</si>
  <si>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</si>
  <si>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</si>
  <si>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</si>
  <si>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</si>
  <si>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</si>
  <si>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</si>
  <si>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</si>
  <si>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</si>
  <si>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</si>
  <si>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</si>
  <si>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</si>
  <si>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</si>
  <si>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</si>
  <si>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</si>
  <si>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</si>
  <si>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</si>
  <si>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</si>
  <si>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</si>
  <si>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</si>
  <si>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</si>
  <si>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</si>
  <si>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</si>
  <si>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</si>
  <si>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</si>
  <si>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</si>
  <si>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</si>
  <si>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</si>
  <si>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</si>
  <si>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</si>
  <si>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</si>
  <si>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</si>
  <si>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</si>
  <si>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</si>
  <si>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</si>
  <si>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</si>
  <si>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</si>
  <si>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</si>
  <si>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</si>
  <si>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</si>
  <si>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</si>
  <si>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</si>
  <si>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</si>
  <si>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</si>
  <si>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</si>
  <si>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</si>
  <si>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</si>
  <si>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</si>
  <si>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</si>
  <si>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</si>
  <si>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</si>
  <si>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</si>
  <si>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</si>
  <si>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</si>
  <si>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</si>
  <si>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</si>
  <si>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</si>
  <si>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</si>
  <si>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</si>
  <si>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</si>
  <si>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</si>
  <si>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</si>
  <si>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</si>
  <si>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</si>
  <si>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</si>
  <si>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</si>
  <si>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</si>
  <si>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</si>
  <si>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</si>
  <si>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</si>
  <si>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</si>
  <si>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</si>
  <si>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</si>
  <si>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</si>
  <si>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</si>
  <si>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</si>
  <si>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</si>
  <si>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</si>
  <si>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</si>
  <si>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</si>
  <si>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</si>
  <si>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</si>
  <si>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</si>
  <si>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</si>
  <si>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</si>
  <si>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</si>
  <si>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</si>
  <si>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</si>
  <si>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</si>
  <si>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</si>
  <si>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</si>
  <si>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</si>
  <si>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</si>
  <si>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</si>
  <si>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</si>
  <si>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</si>
  <si>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</si>
  <si>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</si>
  <si>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</si>
  <si>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</si>
  <si>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</si>
  <si>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</si>
  <si>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</si>
  <si>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</si>
  <si>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</si>
  <si>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</si>
  <si>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</si>
  <si>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</si>
  <si>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</si>
  <si>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</si>
  <si>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</si>
  <si>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</si>
  <si>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</si>
  <si>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</si>
  <si>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</si>
  <si>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</si>
  <si>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</si>
  <si>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</si>
  <si>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</si>
  <si>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</si>
  <si>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</si>
  <si>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</si>
  <si>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</si>
  <si>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</si>
  <si>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</si>
  <si>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</si>
  <si>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</si>
  <si>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</si>
  <si>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</si>
  <si>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</si>
  <si>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</si>
  <si>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</si>
  <si>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</si>
  <si>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</si>
  <si>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</si>
  <si>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</si>
  <si>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</si>
  <si>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</si>
  <si>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</si>
  <si>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</si>
  <si>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</si>
  <si>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</si>
  <si>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</si>
  <si>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</si>
  <si>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</si>
  <si>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</si>
  <si>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</si>
  <si>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</si>
  <si>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</si>
  <si>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</si>
  <si>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</si>
  <si>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</si>
  <si>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</si>
  <si>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</si>
  <si>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</si>
  <si>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</si>
  <si>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</si>
  <si>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</si>
  <si>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</si>
  <si>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</si>
  <si>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</si>
  <si>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</si>
  <si>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</si>
  <si>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</si>
  <si>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</si>
  <si>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</si>
  <si>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</si>
  <si>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</si>
  <si>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</si>
  <si>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</si>
  <si>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</si>
  <si>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</si>
  <si>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</si>
  <si>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</si>
  <si>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</si>
  <si>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</si>
  <si>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</si>
  <si>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</si>
  <si>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</si>
  <si>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</si>
  <si>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</si>
  <si>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</si>
  <si>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</si>
  <si>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</si>
  <si>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</si>
  <si>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</si>
  <si>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</si>
  <si>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</si>
  <si>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</si>
  <si>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</si>
  <si>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</si>
  <si>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</si>
  <si>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</si>
  <si>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</si>
  <si>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</si>
  <si>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</si>
  <si>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</si>
  <si>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</si>
  <si>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</si>
  <si>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</si>
  <si>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</si>
  <si>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</si>
  <si>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</si>
  <si>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</si>
  <si>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</si>
  <si>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</si>
  <si>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</si>
  <si>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</si>
  <si>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</si>
  <si>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</si>
  <si>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</si>
  <si>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</si>
  <si>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</si>
  <si>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</si>
  <si>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</si>
  <si>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</si>
  <si>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</si>
  <si>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</si>
  <si>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</si>
  <si>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</si>
  <si>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</si>
  <si>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</si>
  <si>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</si>
  <si>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</si>
  <si>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</si>
  <si>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</si>
  <si>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</si>
  <si>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</si>
  <si>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</si>
  <si>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</si>
  <si>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</si>
  <si>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</si>
  <si>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</si>
  <si>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</si>
  <si>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</si>
  <si>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</si>
  <si>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</si>
  <si>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</si>
  <si>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</si>
  <si>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</si>
  <si>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</si>
  <si>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</si>
  <si>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</si>
  <si>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</si>
  <si>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</si>
  <si>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</si>
  <si>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</si>
  <si>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</si>
  <si>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</si>
  <si>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</si>
  <si>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</si>
  <si>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</si>
  <si>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</si>
  <si>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</si>
  <si>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</si>
  <si>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</si>
  <si>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</si>
  <si>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</si>
  <si>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</si>
  <si>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</si>
  <si>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</si>
  <si>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</si>
  <si>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</si>
  <si>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</si>
  <si>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</si>
  <si>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</si>
  <si>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</si>
  <si>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</si>
  <si>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</si>
  <si>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</si>
  <si>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</si>
  <si>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</si>
  <si>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</si>
  <si>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</si>
  <si>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</si>
  <si>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</si>
  <si>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</si>
  <si>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</si>
  <si>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</si>
  <si>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</si>
  <si>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</si>
  <si>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</si>
  <si>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</si>
  <si>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</si>
  <si>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</si>
  <si>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</si>
  <si>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</si>
  <si>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</si>
  <si>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</si>
  <si>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</si>
  <si>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</si>
  <si>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</si>
  <si>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</si>
  <si>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</si>
  <si>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</si>
  <si>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</si>
  <si>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</si>
  <si>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</si>
  <si>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</si>
  <si>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</si>
  <si>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</si>
  <si>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</si>
  <si>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</si>
  <si>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</si>
  <si>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</si>
  <si>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</si>
  <si>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</si>
  <si>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</si>
  <si>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</si>
  <si>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</si>
  <si>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</si>
  <si>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</si>
  <si>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</si>
  <si>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</si>
  <si>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</si>
  <si>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</si>
  <si>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</si>
  <si>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</si>
  <si>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</si>
  <si>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</si>
  <si>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</si>
  <si>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</si>
  <si>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</si>
  <si>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</si>
  <si>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</si>
  <si>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</si>
  <si>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</si>
  <si>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</si>
  <si>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</si>
  <si>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</si>
  <si>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</si>
  <si>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</si>
  <si>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</si>
  <si>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</si>
  <si>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</si>
  <si>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</si>
  <si>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</si>
  <si>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</si>
  <si>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</si>
  <si>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</si>
  <si>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</si>
  <si>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</si>
  <si>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</si>
  <si>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</si>
  <si>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</si>
  <si>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</si>
  <si>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</si>
  <si>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</si>
  <si>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</si>
  <si>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</si>
  <si>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</si>
  <si>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</si>
  <si>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</si>
  <si>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</si>
  <si>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</si>
  <si>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</si>
  <si>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</si>
  <si>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</si>
  <si>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</si>
  <si>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</si>
  <si>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</si>
  <si>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</si>
  <si>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</si>
  <si>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</si>
  <si>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</si>
  <si>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</si>
  <si>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</si>
  <si>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</si>
  <si>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</si>
  <si>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</si>
  <si>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</si>
  <si>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</si>
  <si>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</si>
  <si>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</si>
  <si>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</si>
  <si>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</si>
  <si>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</si>
  <si>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</si>
  <si>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</si>
  <si>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</si>
  <si>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</si>
  <si>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</si>
  <si>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</si>
  <si>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</si>
  <si>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</si>
  <si>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</si>
  <si>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</si>
  <si>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</si>
  <si>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</si>
  <si>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</si>
  <si>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</si>
  <si>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</si>
  <si>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</si>
  <si>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</si>
  <si>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</si>
  <si>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</si>
  <si>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</si>
  <si>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</si>
  <si>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</si>
  <si>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</si>
  <si>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</si>
  <si>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</si>
  <si>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</si>
  <si>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</si>
  <si>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</si>
  <si>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</si>
  <si>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</si>
  <si>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</si>
  <si>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</si>
  <si>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</si>
  <si>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</si>
  <si>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</si>
  <si>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</si>
  <si>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</si>
  <si>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</si>
  <si>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</si>
  <si>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</si>
  <si>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</si>
  <si>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</si>
  <si>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</si>
  <si>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</si>
  <si>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</si>
  <si>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</si>
  <si>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</si>
  <si>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</si>
  <si>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</si>
  <si>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</si>
  <si>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</si>
  <si>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</si>
  <si>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</si>
  <si>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</si>
  <si>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</si>
  <si>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</si>
  <si>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</si>
  <si>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</si>
  <si>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</si>
  <si>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</si>
  <si>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</si>
  <si>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</si>
  <si>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</si>
  <si>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</si>
  <si>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</si>
  <si>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</si>
  <si>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</si>
  <si>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</si>
  <si>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</si>
  <si>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</si>
  <si>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</si>
  <si>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</si>
  <si>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</si>
  <si>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</si>
  <si>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</si>
  <si>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</si>
  <si>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</si>
  <si>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</si>
  <si>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</si>
  <si>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</si>
  <si>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</si>
  <si>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</si>
  <si>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</si>
  <si>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</si>
  <si>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</si>
  <si>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</si>
  <si>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</si>
  <si>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</si>
  <si>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</si>
  <si>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</si>
  <si>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</si>
  <si>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</si>
  <si>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</si>
  <si>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</si>
  <si>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</si>
  <si>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</si>
  <si>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</si>
  <si>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</si>
  <si>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</si>
  <si>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</si>
  <si>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</si>
  <si>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</si>
  <si>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</si>
  <si>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</si>
  <si>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</si>
  <si>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</si>
  <si>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</si>
  <si>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</si>
  <si>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</si>
  <si>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</si>
  <si>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</si>
  <si>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</si>
  <si>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</si>
  <si>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</si>
  <si>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</si>
  <si>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</si>
  <si>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</si>
  <si>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</si>
  <si>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</si>
  <si>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</si>
  <si>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</si>
  <si>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</si>
  <si>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</si>
  <si>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</si>
  <si>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</si>
  <si>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</si>
  <si>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</si>
  <si>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</si>
  <si>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</si>
  <si>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</si>
  <si>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</si>
  <si>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</si>
  <si>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</si>
  <si>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</si>
  <si>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</si>
  <si>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</si>
  <si>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</si>
  <si>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</si>
  <si>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</si>
  <si>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</si>
  <si>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</si>
  <si>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</si>
  <si>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</si>
  <si>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</si>
  <si>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</si>
  <si>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</si>
  <si>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</si>
  <si>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</si>
  <si>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</si>
  <si>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</si>
  <si>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</si>
  <si>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</si>
  <si>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</si>
  <si>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</si>
  <si>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</si>
  <si>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</si>
  <si>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</si>
  <si>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</si>
  <si>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</si>
  <si>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</si>
  <si>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</si>
  <si>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</si>
  <si>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</si>
  <si>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</si>
  <si>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</si>
  <si>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</si>
  <si>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</si>
  <si>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</si>
  <si>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</si>
  <si>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</si>
  <si>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</si>
  <si>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</si>
  <si>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</si>
  <si>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</si>
  <si>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</si>
  <si>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</si>
  <si>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</si>
  <si>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</si>
  <si>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</si>
  <si>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</si>
  <si>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</si>
  <si>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</si>
  <si>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</si>
  <si>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</si>
  <si>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</si>
  <si>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</si>
  <si>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</si>
  <si>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</si>
  <si>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</si>
  <si>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</si>
  <si>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</si>
  <si>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</si>
  <si>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</si>
  <si>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</si>
  <si>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</si>
  <si>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</si>
  <si>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</si>
  <si>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</si>
  <si>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</si>
  <si>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</si>
  <si>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</si>
  <si>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</si>
  <si>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</si>
  <si>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</si>
  <si>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</si>
  <si>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</si>
  <si>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</si>
  <si>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</si>
  <si>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</si>
  <si>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</si>
  <si>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</si>
  <si>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</si>
  <si>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</si>
  <si>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</si>
  <si>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</si>
  <si>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</si>
  <si>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</si>
  <si>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</si>
  <si>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</si>
  <si>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</si>
  <si>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</si>
  <si>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</si>
  <si>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</si>
  <si>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</si>
  <si>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</si>
  <si>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</si>
  <si>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</si>
  <si>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</si>
  <si>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</si>
  <si>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</si>
  <si>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</si>
  <si>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</si>
  <si>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</si>
  <si>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</si>
  <si>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</si>
  <si>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</si>
  <si>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</si>
  <si>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</si>
  <si>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</si>
  <si>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</si>
  <si>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</si>
  <si>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</si>
  <si>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</si>
  <si>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</si>
  <si>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</si>
  <si>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</si>
  <si>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</si>
  <si>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</si>
  <si>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</si>
  <si>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</si>
  <si>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</si>
  <si>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</si>
  <si>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</si>
  <si>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</si>
  <si>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</si>
  <si>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</si>
  <si>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</si>
  <si>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</si>
  <si>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</si>
  <si>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</si>
  <si>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</si>
  <si>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</si>
  <si>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</si>
  <si>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</si>
  <si>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</si>
  <si>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</si>
  <si>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</si>
  <si>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</si>
  <si>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</si>
  <si>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</si>
  <si>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</si>
  <si>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</si>
  <si>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</si>
  <si>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</si>
  <si>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</si>
  <si>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</si>
  <si>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</si>
  <si>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</si>
  <si>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</si>
  <si>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</si>
  <si>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</si>
  <si>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</si>
  <si>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</si>
  <si>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</si>
  <si>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</si>
  <si>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</si>
  <si>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</si>
  <si>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</si>
  <si>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</si>
  <si>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</si>
  <si>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</si>
  <si>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</si>
  <si>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</si>
  <si>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</si>
  <si>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</si>
  <si>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</si>
  <si>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</si>
  <si>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</si>
  <si>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</si>
  <si>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</si>
  <si>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</si>
  <si>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</si>
  <si>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</si>
  <si>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</si>
  <si>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</si>
  <si>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</si>
  <si>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</si>
  <si>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</si>
  <si>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</si>
  <si>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</si>
  <si>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</si>
  <si>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</si>
  <si>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</si>
  <si>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</si>
  <si>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</si>
  <si>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</si>
  <si>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</si>
  <si>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</si>
  <si>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</si>
  <si>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</si>
  <si>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</si>
  <si>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</si>
  <si>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</si>
  <si>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</si>
  <si>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</si>
  <si>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</si>
  <si>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</si>
  <si>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</si>
  <si>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</si>
  <si>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</si>
  <si>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</si>
  <si>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</si>
  <si>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</si>
  <si>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</si>
  <si>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</si>
  <si>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</si>
  <si>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</si>
  <si>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</si>
  <si>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</si>
  <si>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</si>
  <si>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</si>
  <si>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</si>
  <si>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</si>
  <si>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</si>
  <si>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</si>
  <si>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</si>
  <si>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</si>
  <si>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</si>
  <si>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</si>
  <si>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</si>
  <si>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</si>
  <si>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</si>
  <si>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</si>
  <si>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</si>
  <si>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</si>
  <si>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</si>
  <si>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</si>
  <si>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</si>
  <si>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</si>
  <si>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</si>
  <si>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</si>
  <si>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</si>
  <si>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</si>
  <si>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</si>
  <si>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</si>
  <si>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</si>
  <si>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</si>
  <si>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</si>
  <si>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</si>
  <si>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</si>
  <si>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</si>
  <si>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</si>
  <si>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</si>
  <si>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</si>
  <si>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</si>
  <si>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</si>
  <si>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</si>
  <si>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</si>
  <si>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</si>
  <si>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</si>
  <si>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</si>
  <si>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</si>
  <si>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</si>
  <si>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</si>
  <si>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</si>
  <si>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</si>
  <si>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</si>
  <si>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</si>
  <si>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</si>
  <si>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</si>
  <si>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</si>
  <si>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</si>
  <si>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</si>
  <si>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</si>
  <si>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</si>
  <si>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</si>
  <si>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</si>
  <si>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</si>
  <si>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</si>
  <si>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</si>
  <si>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</si>
  <si>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</si>
  <si>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</si>
  <si>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</si>
  <si>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</si>
  <si>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</si>
  <si>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</si>
  <si>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</si>
  <si>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</si>
  <si>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</si>
  <si>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</si>
  <si>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</si>
  <si>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</si>
  <si>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</si>
  <si>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</si>
  <si>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</si>
  <si>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</si>
  <si>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</si>
  <si>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</si>
  <si>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</si>
  <si>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</si>
  <si>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</si>
  <si>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</si>
  <si>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</si>
  <si>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</si>
  <si>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</si>
  <si>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</si>
  <si>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</si>
  <si>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</si>
  <si>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</si>
  <si>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</si>
  <si>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</si>
  <si>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</si>
  <si>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</si>
  <si>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</si>
  <si>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</si>
  <si>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</si>
  <si>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</si>
  <si>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</si>
  <si>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</si>
  <si>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</si>
  <si>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</si>
  <si>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</si>
  <si>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</si>
  <si>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</si>
  <si>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</si>
  <si>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</si>
  <si>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</si>
  <si>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</si>
  <si>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</si>
  <si>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</si>
  <si>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</si>
  <si>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</si>
  <si>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</si>
  <si>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</si>
  <si>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</si>
  <si>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</si>
  <si>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</si>
  <si>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</si>
  <si>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</si>
  <si>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</si>
  <si>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</si>
  <si>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</si>
  <si>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</si>
  <si>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</si>
  <si>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</si>
  <si>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</si>
  <si>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</si>
  <si>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</si>
  <si>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</si>
  <si>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</si>
  <si>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</si>
  <si>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</si>
  <si>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</si>
  <si>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</si>
  <si>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</si>
  <si>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</si>
  <si>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</si>
  <si>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</si>
  <si>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</si>
  <si>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</si>
  <si>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</si>
  <si>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</si>
  <si>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</si>
  <si>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</si>
  <si>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</si>
  <si>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</si>
  <si>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</si>
  <si>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</si>
  <si>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</si>
  <si>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</si>
  <si>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</si>
  <si>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</si>
  <si>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</si>
  <si>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</si>
  <si>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</si>
  <si>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</si>
  <si>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</si>
  <si>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</si>
  <si>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</si>
  <si>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</si>
  <si>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</si>
  <si>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</si>
  <si>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</si>
  <si>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</si>
  <si>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</si>
  <si>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</si>
  <si>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</si>
  <si>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</si>
  <si>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</si>
  <si>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</si>
  <si>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</si>
  <si>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</si>
  <si>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</si>
  <si>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</si>
  <si>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</si>
  <si>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</si>
  <si>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</si>
  <si>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</si>
  <si>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</si>
  <si>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</si>
  <si>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</si>
  <si>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</si>
  <si>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</si>
  <si>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</si>
  <si>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</si>
  <si>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</si>
  <si>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</si>
  <si>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</si>
  <si>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</si>
  <si>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</si>
  <si>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</si>
  <si>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</si>
  <si>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</si>
  <si>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</si>
  <si>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</si>
  <si>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</si>
  <si>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</si>
  <si>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</si>
  <si>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</si>
  <si>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</si>
  <si>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</si>
  <si>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</si>
  <si>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</si>
  <si>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</si>
  <si>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</si>
  <si>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</si>
  <si>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</si>
  <si>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</si>
  <si>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</si>
  <si>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</si>
  <si>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</si>
  <si>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</si>
  <si>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</si>
  <si>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</si>
  <si>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</si>
  <si>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</si>
  <si>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</si>
  <si>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</si>
  <si>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</si>
  <si>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</si>
  <si>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</si>
  <si>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</si>
  <si>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</si>
  <si>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</si>
  <si>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</si>
  <si>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</si>
  <si>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</si>
  <si>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</si>
  <si>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</si>
  <si>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</si>
  <si>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</si>
  <si>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</si>
  <si>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</si>
  <si>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</si>
  <si>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</si>
  <si>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</si>
  <si>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</si>
  <si>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</si>
  <si>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</si>
  <si>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</si>
  <si>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</si>
  <si>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</si>
  <si>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</si>
  <si>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</si>
  <si>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</si>
  <si>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</si>
  <si>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</si>
  <si>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</si>
  <si>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</si>
  <si>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</si>
  <si>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</si>
  <si>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</si>
  <si>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</si>
  <si>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</si>
  <si>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</si>
  <si>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</si>
  <si>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</si>
  <si>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</si>
  <si>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</si>
  <si>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</si>
  <si>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</si>
  <si>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</si>
  <si>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</si>
  <si>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</si>
  <si>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</si>
  <si>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</si>
  <si>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</si>
  <si>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</si>
  <si>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</si>
  <si>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</si>
  <si>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</si>
  <si>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</si>
  <si>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</si>
  <si>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</si>
  <si>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</si>
  <si>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</si>
  <si>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</si>
  <si>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</si>
  <si>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</si>
  <si>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</si>
  <si>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</si>
  <si>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</si>
  <si>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</si>
  <si>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</si>
  <si>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</si>
  <si>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</si>
  <si>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</si>
  <si>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</si>
  <si>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</si>
  <si>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</si>
  <si>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</si>
  <si>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</si>
  <si>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</si>
  <si>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</si>
  <si>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</si>
  <si>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</si>
  <si>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</si>
  <si>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</si>
  <si>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</si>
  <si>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</si>
  <si>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</si>
  <si>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</si>
  <si>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</si>
  <si>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</si>
  <si>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</si>
  <si>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</si>
  <si>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</si>
  <si>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</si>
  <si>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</si>
  <si>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</si>
  <si>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</si>
  <si>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</si>
  <si>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</si>
  <si>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</si>
  <si>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</si>
  <si>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</si>
  <si>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</si>
  <si>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</si>
  <si>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</si>
  <si>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</si>
  <si>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</si>
  <si>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</si>
  <si>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</si>
  <si>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</si>
  <si>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</si>
  <si>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</si>
  <si>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</si>
  <si>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</si>
  <si>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</si>
  <si>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</si>
  <si>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</si>
  <si>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</si>
  <si>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</si>
  <si>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</si>
  <si>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</si>
  <si>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</si>
  <si>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</si>
  <si>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</si>
  <si>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</si>
  <si>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</si>
  <si>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</si>
  <si>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</si>
  <si>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</si>
  <si>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</si>
  <si>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</si>
  <si>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</si>
  <si>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</si>
  <si>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</si>
  <si>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</si>
  <si>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</si>
  <si>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</si>
  <si>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</si>
  <si>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</si>
  <si>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</si>
  <si>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</si>
  <si>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</si>
  <si>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</si>
  <si>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</si>
  <si>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</si>
  <si>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</si>
  <si>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</si>
  <si>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</si>
  <si>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</si>
  <si>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</si>
  <si>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</si>
  <si>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</si>
  <si>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</si>
  <si>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</si>
  <si>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</si>
  <si>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</si>
  <si>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</si>
  <si>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</si>
  <si>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</si>
  <si>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</si>
  <si>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</si>
  <si>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</si>
  <si>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</si>
  <si>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</si>
  <si>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</si>
  <si>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</si>
  <si>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</si>
  <si>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</si>
  <si>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</si>
  <si>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</si>
  <si>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</si>
  <si>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</si>
  <si>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</si>
  <si>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</si>
  <si>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</si>
  <si>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</si>
  <si>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</si>
  <si>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</si>
  <si>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</si>
  <si>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</si>
  <si>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</si>
  <si>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</si>
  <si>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</si>
  <si>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</si>
  <si>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</si>
  <si>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</si>
  <si>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</si>
  <si>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</si>
  <si>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</si>
  <si>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</si>
  <si>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</si>
  <si>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</si>
  <si>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</si>
  <si>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</si>
  <si>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</si>
  <si>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</si>
  <si>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</si>
  <si>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</si>
  <si>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</si>
  <si>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</si>
  <si>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</si>
  <si>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</si>
  <si>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</si>
  <si>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</si>
  <si>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</si>
  <si>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</si>
  <si>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</si>
  <si>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</si>
  <si>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</si>
  <si>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</si>
  <si>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</si>
  <si>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</si>
  <si>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</si>
  <si>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</si>
  <si>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</si>
  <si>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</si>
  <si>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</si>
  <si>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</si>
  <si>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</si>
  <si>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</si>
  <si>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</si>
  <si>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</si>
  <si>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</si>
  <si>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</si>
  <si>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</si>
  <si>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</si>
  <si>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</si>
  <si>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</si>
  <si>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</si>
  <si>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</si>
  <si>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</si>
  <si>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</si>
  <si>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</si>
  <si>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</si>
  <si>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</si>
  <si>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</si>
  <si>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</si>
  <si>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</si>
  <si>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</si>
  <si>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</si>
  <si>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</si>
  <si>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</si>
  <si>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</si>
  <si>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</si>
  <si>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</si>
  <si>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</si>
  <si>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</si>
  <si>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</si>
  <si>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</si>
  <si>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</si>
  <si>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</si>
  <si>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</si>
  <si>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</si>
  <si>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</si>
  <si>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</si>
  <si>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</si>
  <si>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</si>
  <si>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</si>
  <si>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</si>
  <si>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</si>
  <si>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</si>
  <si>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</si>
  <si>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</si>
  <si>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</si>
  <si>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</si>
  <si>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</si>
  <si>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</si>
  <si>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</si>
  <si>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</si>
  <si>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</si>
  <si>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</si>
  <si>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</si>
  <si>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</si>
  <si>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</si>
  <si>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</si>
  <si>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</si>
  <si>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</si>
  <si>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</si>
  <si>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</si>
  <si>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</si>
  <si>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</si>
  <si>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</si>
  <si>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</si>
  <si>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</si>
  <si>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</si>
  <si>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</si>
  <si>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</si>
  <si>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</si>
  <si>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</si>
  <si>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</si>
  <si>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</si>
  <si>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</si>
  <si>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</si>
  <si>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</si>
  <si>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</si>
  <si>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</si>
  <si>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</si>
  <si>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</si>
  <si>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</si>
  <si>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</si>
  <si>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</si>
  <si>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</si>
  <si>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</si>
  <si>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</si>
  <si>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</si>
  <si>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</si>
  <si>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</si>
  <si>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</si>
  <si>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</si>
  <si>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</si>
  <si>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</si>
  <si>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</si>
  <si>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</si>
  <si>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</si>
  <si>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</si>
  <si>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</si>
  <si>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</si>
  <si>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</si>
  <si>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</si>
  <si>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</si>
  <si>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</si>
  <si>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</si>
  <si>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</si>
  <si>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</si>
  <si>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</si>
  <si>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</si>
  <si>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</si>
  <si>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</si>
  <si>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</si>
  <si>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</si>
  <si>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</si>
  <si>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</si>
  <si>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</si>
  <si>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</si>
  <si>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</si>
  <si>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</si>
  <si>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</si>
  <si>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</si>
  <si>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</si>
  <si>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</si>
  <si>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</si>
  <si>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</si>
  <si>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</si>
  <si>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</si>
  <si>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</si>
  <si>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</si>
  <si>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</si>
  <si>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</si>
  <si>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</si>
  <si>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</si>
  <si>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</si>
  <si>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</si>
  <si>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</si>
  <si>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</si>
  <si>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</si>
  <si>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</si>
  <si>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</si>
  <si>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</si>
  <si>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</si>
  <si>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</si>
  <si>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</si>
  <si>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</si>
  <si>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</si>
  <si>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</si>
  <si>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</si>
  <si>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</si>
  <si>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</si>
  <si>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</si>
  <si>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</si>
  <si>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</si>
  <si>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</si>
  <si>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</si>
  <si>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</si>
  <si>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</si>
  <si>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</si>
  <si>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</si>
  <si>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</si>
  <si>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</si>
  <si>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</si>
  <si>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</si>
  <si>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</si>
  <si>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</si>
  <si>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</si>
  <si>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</si>
  <si>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</si>
  <si>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</si>
  <si>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</si>
  <si>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</si>
  <si>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</si>
  <si>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</si>
  <si>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</si>
  <si>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</si>
  <si>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</si>
  <si>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</si>
  <si>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</si>
  <si>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</si>
  <si>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</si>
  <si>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</si>
  <si>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</si>
  <si>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</si>
  <si>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</si>
  <si>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</si>
  <si>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</si>
  <si>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</si>
  <si>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</si>
  <si>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</si>
  <si>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</si>
  <si>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</si>
  <si>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</si>
  <si>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</si>
  <si>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</si>
  <si>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</si>
  <si>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</si>
  <si>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</si>
  <si>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</si>
  <si>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</si>
  <si>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</si>
  <si>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</si>
  <si>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</si>
  <si>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</si>
  <si>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</si>
  <si>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</si>
  <si>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</si>
  <si>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</si>
  <si>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</si>
  <si>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</si>
  <si>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</si>
  <si>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</si>
  <si>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</si>
  <si>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</si>
  <si>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</si>
  <si>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</si>
  <si>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</si>
  <si>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</si>
  <si>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</si>
  <si>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</si>
  <si>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</si>
  <si>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</si>
  <si>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</si>
  <si>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</si>
  <si>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</si>
  <si>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</si>
  <si>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</si>
  <si>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</si>
  <si>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</si>
  <si>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</si>
  <si>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</si>
  <si>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</si>
  <si>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</si>
  <si>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</si>
  <si>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</si>
  <si>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</si>
  <si>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</si>
  <si>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</si>
  <si>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</si>
  <si>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</si>
  <si>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</si>
  <si>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</si>
  <si>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</si>
  <si>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</si>
  <si>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</si>
  <si>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</si>
  <si>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</si>
  <si>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</si>
  <si>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</si>
  <si>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</si>
  <si>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</si>
  <si>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</si>
  <si>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</si>
  <si>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</si>
  <si>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</si>
  <si>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</si>
  <si>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</si>
  <si>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</si>
  <si>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</si>
  <si>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</si>
  <si>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</si>
  <si>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</si>
  <si>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</si>
  <si>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</si>
  <si>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</si>
  <si>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</si>
  <si>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</si>
  <si>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</si>
  <si>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</si>
  <si>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</si>
  <si>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</si>
  <si>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</si>
  <si>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</si>
  <si>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</si>
  <si>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</si>
  <si>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</si>
  <si>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</si>
  <si>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</si>
  <si>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</si>
  <si>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</si>
  <si>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</si>
  <si>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</si>
  <si>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</si>
  <si>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</si>
  <si>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</si>
  <si>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</si>
  <si>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</si>
  <si>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</si>
  <si>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</si>
  <si>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</si>
  <si>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</si>
  <si>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</si>
  <si>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</si>
  <si>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</si>
  <si>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</si>
  <si>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</si>
  <si>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</si>
  <si>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</si>
  <si>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</si>
  <si>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</si>
  <si>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</si>
  <si>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</si>
  <si>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</si>
  <si>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</si>
  <si>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</si>
  <si>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</si>
  <si>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</si>
  <si>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</si>
  <si>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</si>
  <si>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</si>
  <si>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</si>
  <si>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</si>
  <si>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</si>
  <si>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</si>
  <si>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</si>
  <si>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</si>
  <si>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</si>
  <si>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</si>
  <si>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</si>
  <si>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</si>
  <si>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</si>
  <si>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</si>
  <si>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</si>
  <si>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</si>
  <si>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</si>
  <si>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</si>
  <si>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</si>
  <si>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</si>
  <si>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</si>
  <si>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</si>
  <si>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</si>
  <si>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</si>
  <si>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</si>
  <si>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</si>
  <si>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</si>
  <si>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</si>
  <si>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</si>
  <si>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</si>
  <si>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</si>
  <si>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</si>
  <si>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</si>
  <si>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</si>
  <si>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</si>
  <si>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</si>
  <si>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</si>
  <si>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</si>
  <si>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</si>
  <si>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</si>
  <si>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</si>
  <si>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</si>
  <si>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</si>
  <si>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</si>
  <si>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</si>
  <si>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</si>
  <si>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</si>
  <si>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</si>
  <si>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</si>
  <si>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</si>
  <si>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</si>
  <si>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</si>
  <si>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</si>
  <si>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</si>
  <si>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</si>
  <si>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</si>
  <si>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</si>
  <si>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</si>
  <si>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</si>
  <si>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</si>
  <si>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</si>
  <si>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</si>
  <si>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</si>
  <si>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</si>
  <si>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</si>
  <si>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</si>
  <si>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</si>
  <si>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</si>
  <si>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</si>
  <si>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</si>
  <si>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</si>
  <si>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</si>
  <si>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</si>
  <si>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</si>
  <si>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</si>
  <si>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</si>
  <si>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</si>
  <si>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</si>
  <si>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</si>
  <si>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</si>
  <si>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</si>
  <si>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</si>
  <si>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</si>
  <si>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</si>
  <si>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</si>
  <si>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</si>
  <si>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</si>
  <si>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</si>
  <si>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</si>
  <si>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</si>
  <si>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</si>
  <si>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</si>
  <si>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</si>
  <si>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</si>
  <si>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</si>
  <si>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</si>
  <si>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</si>
  <si>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</si>
  <si>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</si>
  <si>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</si>
  <si>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</si>
  <si>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</si>
  <si>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</si>
  <si>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</si>
  <si>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</si>
  <si>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</si>
  <si>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</si>
  <si>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</si>
  <si>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</si>
  <si>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</si>
  <si>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</si>
  <si>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</si>
  <si>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Σκοπός(-οί) του έργου</t>
  </si>
  <si>
    <t>Ja [1]</t>
  </si>
  <si>
    <t>Kennung der NTP (wird von Behörde ausgefüllt)</t>
  </si>
  <si>
    <t xml:space="preserve">Vom zentralen System der Europäischen Kommission zugewiesene eindeutige NTP-Kennung </t>
  </si>
  <si>
    <t>Nationale Kennung der NTP (wird von Behörde ausgefüllt)</t>
  </si>
  <si>
    <t>Link zur vorherigen Version der NTP außerhalb des Systems der Europäischen Kommission (wird von der Behörde ausgefüllt)</t>
  </si>
  <si>
    <t>Für die rückblickende Bewertung vorgeschriebenes Projekt (wird von der Behörde ausgefüllt)</t>
  </si>
  <si>
    <t>Schlüsselbegriffe                    (je max. 50 Zeichen)</t>
  </si>
  <si>
    <t>Titel des Projekts                     (max. 500 Zeichen)</t>
  </si>
  <si>
    <t>Für die Tiere zu erwartende Auswirkungen/Schäden                                                                              (max. 2500 Zeichen)</t>
  </si>
  <si>
    <t>Bitte erläutern Sie die Wahl der Arten und entsprechenden Lebensabschnitte.                              (max. 2500 Zeichen)</t>
  </si>
  <si>
    <r>
      <rPr>
        <sz val="11"/>
        <color rgb="FFFF0000"/>
        <rFont val="Calibri"/>
        <family val="2"/>
        <scheme val="minor"/>
      </rPr>
      <t>*</t>
    </r>
    <r>
      <rPr>
        <sz val="11"/>
        <color theme="1"/>
        <rFont val="Calibri"/>
        <family val="2"/>
        <scheme val="minor"/>
      </rPr>
      <t xml:space="preserve"> Beschreiben Sie die Projektziele (z.B. Erforschung wissenschaftlicher Unbekannter oder Deckung eines wissenschaftlichen oder klinischen Bedarfs).
Dabei sollte das </t>
    </r>
    <r>
      <rPr>
        <b/>
        <sz val="11"/>
        <color theme="1"/>
        <rFont val="Calibri"/>
        <family val="2"/>
        <scheme val="minor"/>
      </rPr>
      <t>Gesamtziel</t>
    </r>
    <r>
      <rPr>
        <sz val="11"/>
        <color theme="1"/>
        <rFont val="Calibri"/>
        <family val="2"/>
        <scheme val="minor"/>
      </rPr>
      <t xml:space="preserve"> des Projekts in populärwissenschaftlicher (d. h. nichttechnischer) Sprache beschrieben werden. Es sollten geeignete </t>
    </r>
    <r>
      <rPr>
        <b/>
        <sz val="11"/>
        <color theme="1"/>
        <rFont val="Calibri"/>
        <family val="2"/>
        <scheme val="minor"/>
      </rPr>
      <t>Hintergrundinformationen</t>
    </r>
    <r>
      <rPr>
        <sz val="11"/>
        <color theme="1"/>
        <rFont val="Calibri"/>
        <family val="2"/>
        <scheme val="minor"/>
      </rPr>
      <t xml:space="preserve"> gegeben werden, um den Kontext 
des Forschungsziels zu verdeutlichen. Als Nächstes sollten die </t>
    </r>
    <r>
      <rPr>
        <b/>
        <sz val="11"/>
        <color theme="1"/>
        <rFont val="Calibri"/>
        <family val="2"/>
        <scheme val="minor"/>
      </rPr>
      <t>konkreten Forschungsfragen</t>
    </r>
    <r>
      <rPr>
        <sz val="11"/>
        <color theme="1"/>
        <rFont val="Calibri"/>
        <family val="2"/>
        <scheme val="minor"/>
      </rPr>
      <t>, mit denen man sich befasst, beschrieben werden; dabei sollte erläutert werden, inwieweit sie relevant und warum sie von Interesse sind.</t>
    </r>
  </si>
  <si>
    <r>
      <rPr>
        <sz val="11"/>
        <color rgb="FFFF0000"/>
        <rFont val="Calibri"/>
        <family val="2"/>
        <scheme val="minor"/>
      </rPr>
      <t>*</t>
    </r>
    <r>
      <rPr>
        <sz val="11"/>
        <color theme="1"/>
        <rFont val="Calibri"/>
        <family val="2"/>
        <scheme val="minor"/>
      </rPr>
      <t xml:space="preserve"> Beschreiben Sie in welchen Versuchen die Tiere in diesem Projekt verwendet werden sollen (z.B. Injektionen, chirurgische Eingriffe, Verhaltenstests, Blutabnahmen, bildgebende Verfahren) unter Angabe der Anzahl und Dauer dieser Versuche.</t>
    </r>
  </si>
  <si>
    <r>
      <rPr>
        <sz val="11"/>
        <color rgb="FFFF0000"/>
        <rFont val="Calibri"/>
        <family val="2"/>
        <scheme val="minor"/>
      </rPr>
      <t>*</t>
    </r>
    <r>
      <rPr>
        <sz val="11"/>
        <color theme="1"/>
        <rFont val="Calibri"/>
        <family val="2"/>
        <scheme val="minor"/>
      </rPr>
      <t xml:space="preserve"> Erläutern Sie, wie die geeignete Anzahl an Tieren  in Übereinstimmung mit den Projektzielen bestimmt wurde. 
Beschreiben Sie die Schritte, die </t>
    </r>
    <r>
      <rPr>
        <b/>
        <sz val="11"/>
        <color theme="1"/>
        <rFont val="Calibri"/>
        <family val="2"/>
        <scheme val="minor"/>
      </rPr>
      <t>während der Konzeption des Projekts</t>
    </r>
    <r>
      <rPr>
        <sz val="11"/>
        <color theme="1"/>
        <rFont val="Calibri"/>
        <family val="2"/>
        <scheme val="minor"/>
      </rPr>
      <t xml:space="preserve"> unternommen wurden, um die Anzahl der zu verwendenden Tiere zu verringern. 
Beschreiben Sie gegebenenfalls die Praktiken, die </t>
    </r>
    <r>
      <rPr>
        <b/>
        <sz val="11"/>
        <color theme="1"/>
        <rFont val="Calibri"/>
        <family val="2"/>
        <scheme val="minor"/>
      </rPr>
      <t>während des gesamten Projekts</t>
    </r>
    <r>
      <rPr>
        <sz val="11"/>
        <color theme="1"/>
        <rFont val="Calibri"/>
        <family val="2"/>
        <scheme val="minor"/>
      </rPr>
      <t xml:space="preserve"> angewandt werden, um die Anzahl der Tiere,  so gering wie möglich zu halten. 
Diese Praktiken können z. B. Pilotstudien, stufenweises Versuchsdesign, Computermodelle, die gemeinsame Nutzung von Geweben und die erneute Verwendung umfassen.</t>
    </r>
  </si>
  <si>
    <r>
      <rPr>
        <sz val="11"/>
        <color rgb="FFFF0000"/>
        <rFont val="Calibri"/>
        <family val="2"/>
        <scheme val="minor"/>
      </rPr>
      <t>*</t>
    </r>
    <r>
      <rPr>
        <sz val="11"/>
        <color theme="1"/>
        <rFont val="Calibri"/>
        <family val="2"/>
        <scheme val="minor"/>
      </rPr>
      <t xml:space="preserve"> Beschreiben Sie die</t>
    </r>
    <r>
      <rPr>
        <b/>
        <sz val="11"/>
        <color theme="1"/>
        <rFont val="Calibri"/>
        <family val="2"/>
        <scheme val="minor"/>
      </rPr>
      <t xml:space="preserve"> spezifischen Maßnahmen</t>
    </r>
    <r>
      <rPr>
        <sz val="11"/>
        <color theme="1"/>
        <rFont val="Calibri"/>
        <family val="2"/>
        <scheme val="minor"/>
      </rPr>
      <t>, um die Belastung der Tiere im Tierversuch/Projekt so gering wie möglich zu halten (z. B. verstärkte Überwachung, postoperative Betreuung, Schmerzbehandlung, spezielle Ernährung, Training der Tiere, Abbruchkriterien). Generell sollten keine Bestimmungen beschrieben werden, bei denen es sich um wesentliche gesetzliche Auflagen handelt.
Wie wird</t>
    </r>
    <r>
      <rPr>
        <b/>
        <sz val="11"/>
        <color theme="1"/>
        <rFont val="Calibri"/>
        <family val="2"/>
        <scheme val="minor"/>
      </rPr>
      <t xml:space="preserve"> während der Projektlaufzeit</t>
    </r>
    <r>
      <rPr>
        <sz val="11"/>
        <color theme="1"/>
        <rFont val="Calibri"/>
        <family val="2"/>
        <scheme val="minor"/>
      </rPr>
      <t xml:space="preserve"> sichergestellt, dass Verbesserungen (Refinement) laufend überprüft und eingeführt werden?</t>
    </r>
  </si>
  <si>
    <r>
      <rPr>
        <sz val="11"/>
        <color rgb="FFFF0000"/>
        <rFont val="Calibri"/>
        <family val="2"/>
        <scheme val="minor"/>
      </rPr>
      <t>*</t>
    </r>
    <r>
      <rPr>
        <sz val="11"/>
        <color theme="1"/>
        <rFont val="Calibri"/>
        <family val="2"/>
        <scheme val="minor"/>
      </rPr>
      <t xml:space="preserve"> Erläutern Sie, warum die gewählte</t>
    </r>
    <r>
      <rPr>
        <b/>
        <sz val="11"/>
        <color theme="1"/>
        <rFont val="Calibri"/>
        <family val="2"/>
        <scheme val="minor"/>
      </rPr>
      <t xml:space="preserve"> Tierart</t>
    </r>
    <r>
      <rPr>
        <sz val="11"/>
        <color theme="1"/>
        <rFont val="Calibri"/>
        <family val="2"/>
        <scheme val="minor"/>
      </rPr>
      <t xml:space="preserve"> und der gewählte
</t>
    </r>
    <r>
      <rPr>
        <b/>
        <sz val="11"/>
        <color theme="1"/>
        <rFont val="Calibri"/>
        <family val="2"/>
        <scheme val="minor"/>
      </rPr>
      <t xml:space="preserve">Lebensabschnitt </t>
    </r>
    <r>
      <rPr>
        <sz val="11"/>
        <color theme="1"/>
        <rFont val="Calibri"/>
        <family val="2"/>
        <scheme val="minor"/>
      </rPr>
      <t>am besten geeignet sind, um die erklärten Projektziele zu erreichen.</t>
    </r>
  </si>
  <si>
    <r>
      <t xml:space="preserve">* </t>
    </r>
    <r>
      <rPr>
        <sz val="11"/>
        <rFont val="Calibri"/>
        <family val="2"/>
        <scheme val="minor"/>
      </rPr>
      <t>Mindestens ein Schlüsselbegriff ist anzugeben.</t>
    </r>
  </si>
  <si>
    <r>
      <rPr>
        <sz val="11"/>
        <color rgb="FFFF0000"/>
        <rFont val="Calibri"/>
        <family val="2"/>
        <scheme val="minor"/>
      </rPr>
      <t>*</t>
    </r>
    <r>
      <rPr>
        <sz val="11"/>
        <rFont val="Calibri"/>
        <family val="2"/>
        <scheme val="minor"/>
      </rPr>
      <t xml:space="preserve"> Beschreiben Sie wel</t>
    </r>
    <r>
      <rPr>
        <sz val="11"/>
        <color theme="1"/>
        <rFont val="Calibri"/>
        <family val="2"/>
        <scheme val="minor"/>
      </rPr>
      <t>cher potenzielle Nutzen erwartet wird. 
Erläutern Sie, wie das Projekt die Wissenschaft voranbringen oder welcher Nutzen sich letztlich für Menschen, Tiere oder die Umwelt ergeben könnte. 
Gegebenenfalls ist zwischen einem realistischen</t>
    </r>
    <r>
      <rPr>
        <b/>
        <sz val="11"/>
        <color theme="1"/>
        <rFont val="Calibri"/>
        <family val="2"/>
        <scheme val="minor"/>
      </rPr>
      <t xml:space="preserve"> kurzfristigen Nutzen</t>
    </r>
    <r>
      <rPr>
        <sz val="11"/>
        <color theme="1"/>
        <rFont val="Calibri"/>
        <family val="2"/>
        <scheme val="minor"/>
      </rPr>
      <t xml:space="preserve"> (während der Projektlaufzeit) und </t>
    </r>
    <r>
      <rPr>
        <b/>
        <sz val="11"/>
        <color theme="1"/>
        <rFont val="Calibri"/>
        <family val="2"/>
        <scheme val="minor"/>
      </rPr>
      <t>langfristigem Nutzen</t>
    </r>
    <r>
      <rPr>
        <sz val="11"/>
        <color theme="1"/>
        <rFont val="Calibri"/>
        <family val="2"/>
        <scheme val="minor"/>
      </rPr>
      <t xml:space="preserve"> (der sich nach Abschluss des Projekts ergeben könnte) zu unterscheiden.</t>
    </r>
  </si>
  <si>
    <r>
      <rPr>
        <sz val="11"/>
        <color rgb="FFFF0000"/>
        <rFont val="Calibri"/>
        <family val="2"/>
        <scheme val="minor"/>
      </rPr>
      <t>*</t>
    </r>
    <r>
      <rPr>
        <sz val="11"/>
        <color theme="1"/>
        <rFont val="Calibri"/>
        <family val="2"/>
        <scheme val="minor"/>
      </rPr>
      <t xml:space="preserve"> Beschreiben sie, welche Auswirkungen/Schäden/Belastungen für die Tiere zu erwarten sind (z.B. kurzzeitiger Stress, Schmerzen, ungewöhnliches Verhalten, Stress durch Einzelhaltung, postoperative Belastungen, induzierte Erkrankungen, Inaktivität/eingeschränkte Mobilität) unter Angabe der Dauer der Belastung.</t>
    </r>
  </si>
  <si>
    <t>Tierversuche, bei denen die Tiere in diesem Projekt verwendet werden                                      (max. 2500 Zeichen)</t>
  </si>
  <si>
    <t>Potenzieller Nutzen, der sich aus diesem Projekt ergeben dürfte                                                    (max. 2500 Zeichen)</t>
  </si>
  <si>
    <t>Projektziele                                                                                                                                                               (max. 2500 Zeichen)</t>
  </si>
  <si>
    <t>Verbleib ALLER Tiere nach Abschluss des Tierversuchs / des Projekts                                              (max. 2500 Zeichen)</t>
  </si>
  <si>
    <t>1. Vermeidung                                                                                                                                                            (max. 2500 Zeichen)</t>
  </si>
  <si>
    <t>3. Verbesserung                                                                                                                                                          (max. 2500 Zeichen)</t>
  </si>
  <si>
    <t>2. Verminderung                                                                                                                                                        (max. 2500 Zeichen)</t>
  </si>
  <si>
    <t>Projektdauer</t>
  </si>
  <si>
    <t xml:space="preserve">
Die Projektdauer wird von der Behörde ggf. dem Antrag entsprechend angepasst.
</t>
  </si>
  <si>
    <t xml:space="preserve">Die Frist für die RB wird von der Behörde ggf. dem Antrag entsprechend angepasst.
</t>
  </si>
  <si>
    <r>
      <rPr>
        <sz val="11"/>
        <color rgb="FFFF0000"/>
        <rFont val="Calibri"/>
        <family val="2"/>
        <scheme val="minor"/>
      </rPr>
      <t>*</t>
    </r>
    <r>
      <rPr>
        <sz val="11"/>
        <color theme="1"/>
        <rFont val="Calibri"/>
        <family val="2"/>
        <scheme val="minor"/>
      </rPr>
      <t xml:space="preserve">Beschreiben Sie, welche tierversuchsfreien Alternativen in diesem Bereich verfügbar sind und begründen Sie, warum sie nicht für die Zwecke des Projekts angewendet werden können.
Beschreiben Sie, </t>
    </r>
    <r>
      <rPr>
        <b/>
        <sz val="11"/>
        <color theme="1"/>
        <rFont val="Calibri"/>
        <family val="2"/>
        <scheme val="minor"/>
      </rPr>
      <t xml:space="preserve">welche </t>
    </r>
    <r>
      <rPr>
        <b/>
        <i/>
        <sz val="11"/>
        <color theme="1"/>
        <rFont val="Calibri"/>
        <family val="2"/>
        <scheme val="minor"/>
      </rPr>
      <t>in vitro,</t>
    </r>
    <r>
      <rPr>
        <b/>
        <sz val="11"/>
        <color theme="1"/>
        <rFont val="Calibri"/>
        <family val="2"/>
        <scheme val="minor"/>
      </rPr>
      <t xml:space="preserve"> </t>
    </r>
    <r>
      <rPr>
        <b/>
        <i/>
        <sz val="11"/>
        <color theme="1"/>
        <rFont val="Calibri"/>
        <family val="2"/>
        <scheme val="minor"/>
      </rPr>
      <t>in silico oder ex vivo</t>
    </r>
    <r>
      <rPr>
        <b/>
        <sz val="11"/>
        <color theme="1"/>
        <rFont val="Calibri"/>
        <family val="2"/>
        <scheme val="minor"/>
      </rPr>
      <t xml:space="preserve"> Versuche  im Vorfeld </t>
    </r>
    <r>
      <rPr>
        <sz val="11"/>
        <color theme="1"/>
        <rFont val="Calibri"/>
        <family val="2"/>
        <scheme val="minor"/>
      </rPr>
      <t xml:space="preserve">der geplanten Tierversuche bereits durchgeführt wurden. Welche </t>
    </r>
    <r>
      <rPr>
        <i/>
        <sz val="11"/>
        <color theme="1"/>
        <rFont val="Calibri"/>
        <family val="2"/>
        <scheme val="minor"/>
      </rPr>
      <t>tierversuchsfreien Methoden</t>
    </r>
    <r>
      <rPr>
        <sz val="11"/>
        <color theme="1"/>
        <rFont val="Calibri"/>
        <family val="2"/>
        <scheme val="minor"/>
      </rPr>
      <t xml:space="preserve">sollen </t>
    </r>
    <r>
      <rPr>
        <b/>
        <sz val="11"/>
        <color theme="1"/>
        <rFont val="Calibri"/>
        <family val="2"/>
        <scheme val="minor"/>
      </rPr>
      <t xml:space="preserve">ergänzend/begleitend zum Tierversuch </t>
    </r>
    <r>
      <rPr>
        <sz val="11"/>
        <color theme="1"/>
        <rFont val="Calibri"/>
        <family val="2"/>
        <scheme val="minor"/>
      </rPr>
      <t>angewendet werden?</t>
    </r>
  </si>
  <si>
    <r>
      <rPr>
        <sz val="11"/>
        <color rgb="FFFF0000"/>
        <rFont val="Calibri"/>
        <family val="2"/>
        <scheme val="minor"/>
      </rPr>
      <t>*</t>
    </r>
    <r>
      <rPr>
        <sz val="11"/>
        <color theme="1"/>
        <rFont val="Calibri"/>
        <family val="2"/>
        <scheme val="minor"/>
      </rPr>
      <t xml:space="preserve"> Begründen Sie den geplanten Verbleib </t>
    </r>
    <r>
      <rPr>
        <b/>
        <sz val="11"/>
        <color theme="1"/>
        <rFont val="Calibri"/>
        <family val="2"/>
        <scheme val="minor"/>
      </rPr>
      <t>aller Tiere,</t>
    </r>
    <r>
      <rPr>
        <sz val="11"/>
        <color theme="1"/>
        <rFont val="Calibri"/>
        <family val="2"/>
        <scheme val="minor"/>
      </rPr>
      <t xml:space="preserve"> die für das Projekt verwendet werden sollen: Was passiert mit den Tieren nach Abschluss des Tierversuchs/des Projekts? 
z.B. Tötung zur Entnahme von Geweben/Organen für histologische Untersuchungen; 
Tiere werden in den Lebensraum/in das Haltungssytem zurückgebracht;
Tiere werden privat untergebracht;
</t>
    </r>
  </si>
  <si>
    <t>Nur auszufüllen, falls zutreffend!</t>
  </si>
  <si>
    <r>
      <rPr>
        <b/>
        <i/>
        <sz val="11"/>
        <color rgb="FF7F7F7F"/>
        <rFont val="Calibri"/>
        <family val="2"/>
        <scheme val="minor"/>
      </rPr>
      <t>Falls zutreffend:</t>
    </r>
    <r>
      <rPr>
        <i/>
        <sz val="11"/>
        <color rgb="FF7F7F7F"/>
        <rFont val="Calibri"/>
        <family val="2"/>
        <scheme val="minor"/>
      </rPr>
      <t xml:space="preserve"> Angaben zu den Tieren, die nach Abschluss des Projekts am Leben bleiben sollen (d. h. wenn Tiere nach Ablauf der Studie erneut verwendet/in den Lebensraum bzw. das Haltungssystem zurückgebracht/privat untergebracht werden sollen)
</t>
    </r>
  </si>
  <si>
    <t xml:space="preserve">
Link: EU-Datenbank ALURES</t>
  </si>
  <si>
    <t>Nichttechnische Projektzusammenfassung
zur Veröffentlichung</t>
  </si>
  <si>
    <r>
      <t xml:space="preserve">Nichttechnische Projektzusammenfassung 
</t>
    </r>
    <r>
      <rPr>
        <sz val="12"/>
        <color rgb="FF000000"/>
        <rFont val="Calibri"/>
        <family val="2"/>
        <scheme val="minor"/>
      </rPr>
      <t>zur Veröffentlichung in der frei zugänglichen EU-Datenbank ALURES</t>
    </r>
  </si>
  <si>
    <r>
      <t xml:space="preserve"> - </t>
    </r>
    <r>
      <rPr>
        <sz val="12"/>
        <color rgb="FF000000"/>
        <rFont val="Calibri"/>
        <family val="2"/>
        <scheme val="minor"/>
      </rPr>
      <t>in</t>
    </r>
    <r>
      <rPr>
        <b/>
        <sz val="12"/>
        <color rgb="FF000000"/>
        <rFont val="Calibri"/>
        <family val="2"/>
        <scheme val="minor"/>
      </rPr>
      <t xml:space="preserve"> DEUTSCHER SPRACHE </t>
    </r>
    <r>
      <rPr>
        <sz val="12"/>
        <color rgb="FF000000"/>
        <rFont val="Calibri"/>
        <family val="2"/>
        <scheme val="minor"/>
      </rPr>
      <t>auszufüllen</t>
    </r>
    <r>
      <rPr>
        <b/>
        <sz val="12"/>
        <color rgb="FF000000"/>
        <rFont val="Calibri"/>
        <family val="2"/>
        <scheme val="minor"/>
      </rPr>
      <t xml:space="preserve">
 - </t>
    </r>
    <r>
      <rPr>
        <sz val="12"/>
        <color rgb="FF000000"/>
        <rFont val="Calibri"/>
        <family val="2"/>
        <scheme val="minor"/>
      </rPr>
      <t xml:space="preserve">Es dürfen </t>
    </r>
    <r>
      <rPr>
        <b/>
        <u/>
        <sz val="12"/>
        <color rgb="FF000000"/>
        <rFont val="Calibri"/>
        <family val="2"/>
        <scheme val="minor"/>
      </rPr>
      <t>keine personenbezogenen Daten</t>
    </r>
    <r>
      <rPr>
        <sz val="12"/>
        <color rgb="FF000000"/>
        <rFont val="Calibri"/>
        <family val="2"/>
        <scheme val="minor"/>
      </rPr>
      <t>, wie u.a. Angaben zu
   Personen, zum Verwender oder zu Publikationen, enthalten sein.</t>
    </r>
    <r>
      <rPr>
        <b/>
        <sz val="12"/>
        <color rgb="FF000000"/>
        <rFont val="Calibri"/>
        <family val="2"/>
        <scheme val="minor"/>
      </rPr>
      <t xml:space="preserve">
 - </t>
    </r>
    <r>
      <rPr>
        <sz val="12"/>
        <color rgb="FF000000"/>
        <rFont val="Calibri"/>
        <family val="2"/>
        <scheme val="minor"/>
      </rPr>
      <t>Der Schutz der Rechte des geistigen Eigentums</t>
    </r>
    <r>
      <rPr>
        <b/>
        <sz val="12"/>
        <color rgb="FF000000"/>
        <rFont val="Calibri"/>
        <family val="2"/>
        <scheme val="minor"/>
      </rPr>
      <t xml:space="preserve"> </t>
    </r>
    <r>
      <rPr>
        <sz val="12"/>
        <color rgb="FF000000"/>
        <rFont val="Calibri"/>
        <family val="2"/>
        <scheme val="minor"/>
      </rPr>
      <t>sowie</t>
    </r>
    <r>
      <rPr>
        <b/>
        <sz val="12"/>
        <color rgb="FF000000"/>
        <rFont val="Calibri"/>
        <family val="2"/>
        <scheme val="minor"/>
      </rPr>
      <t xml:space="preserve"> </t>
    </r>
    <r>
      <rPr>
        <sz val="12"/>
        <color rgb="FF000000"/>
        <rFont val="Calibri"/>
        <family val="2"/>
        <scheme val="minor"/>
      </rPr>
      <t>vertraulicher
   Informationen</t>
    </r>
    <r>
      <rPr>
        <b/>
        <sz val="12"/>
        <color rgb="FF000000"/>
        <rFont val="Calibri"/>
        <family val="2"/>
        <scheme val="minor"/>
      </rPr>
      <t xml:space="preserve"> </t>
    </r>
    <r>
      <rPr>
        <sz val="12"/>
        <color rgb="FF000000"/>
        <rFont val="Calibri"/>
        <family val="2"/>
        <scheme val="minor"/>
      </rPr>
      <t>ist zu beachten</t>
    </r>
    <r>
      <rPr>
        <b/>
        <sz val="12"/>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</si>
</sst>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31"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
      <sz val="11"/>
      <color theme="0" tint="-0.499984740745262"/>
      <name val="Calibri"/>
      <family val="2"/>
      <scheme val="minor"/>
    </font>
    <font>
      <b/>
      <sz val="11"/>
      <name val="Calibri"/>
      <family val="2"/>
      <scheme val="minor"/>
    </font>
    <font>
      <b/>
      <sz val="11"/>
      <color theme="0" tint="-0.499984740745262"/>
      <name val="Calibri"/>
      <family val="2"/>
      <scheme val="minor"/>
    </font>
    <font>
      <i/>
      <sz val="11"/>
      <color theme="1"/>
      <name val="Calibri"/>
      <family val="2"/>
      <scheme val="minor"/>
    </font>
    <font>
      <sz val="11"/>
      <color rgb="FFFF0000"/>
      <name val="Calibri"/>
      <family val="2"/>
      <scheme val="minor"/>
    </font>
    <font>
      <b/>
      <sz val="12"/>
      <color rgb="FF000000"/>
      <name val="Calibri"/>
      <family val="2"/>
      <scheme val="minor"/>
    </font>
    <font>
      <sz val="12"/>
      <color rgb="FF000000"/>
      <name val="Calibri"/>
      <family val="2"/>
      <scheme val="minor"/>
    </font>
    <font>
      <b/>
      <u/>
      <sz val="12"/>
      <color rgb="FF000000"/>
      <name val="Calibri"/>
      <family val="2"/>
      <scheme val="minor"/>
    </font>
    <font>
      <b/>
      <i/>
      <sz val="11"/>
      <color theme="1"/>
      <name val="Calibri"/>
      <family val="2"/>
      <scheme val="minor"/>
    </font>
    <font>
      <b/>
      <i/>
      <sz val="11"/>
      <color rgb="FF7F7F7F"/>
      <name val="Calibri"/>
      <family val="2"/>
      <scheme val="minor"/>
    </font>
    <font>
      <b/>
      <sz val="15"/>
      <color rgb="FF000000"/>
      <name val="Calibri"/>
      <family val="2"/>
      <scheme val="minor"/>
    </font>
  </fonts>
  <fills count="8">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65">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indent="2"/>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0" fontId="0" fillId="0" borderId="0" xfId="0"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0" fillId="0" borderId="0" xfId="0" applyAlignment="1">
      <alignment horizontal="left" vertical="top"/>
    </xf>
    <xf numFmtId="0" fontId="11" fillId="0" borderId="20" xfId="6" applyAlignment="1" applyProtection="1">
      <alignment horizontal="center" vertical="center"/>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20" fillId="0" borderId="0" xfId="0" applyFont="1" applyAlignment="1">
      <alignment horizontal="left" vertical="top"/>
    </xf>
    <xf numFmtId="0" fontId="20" fillId="2" borderId="13" xfId="3" applyFont="1" applyBorder="1" applyAlignment="1" applyProtection="1">
      <alignment horizontal="left" vertical="top" wrapText="1" shrinkToFit="1"/>
    </xf>
    <xf numFmtId="0" fontId="20" fillId="2" borderId="13" xfId="3" applyFont="1" applyBorder="1" applyAlignment="1" applyProtection="1">
      <alignment horizontal="left" vertical="top" wrapText="1"/>
    </xf>
    <xf numFmtId="0" fontId="20" fillId="2" borderId="13" xfId="3" applyFont="1" applyBorder="1" applyAlignment="1" applyProtection="1">
      <alignment horizontal="left" vertical="top"/>
      <protection locked="0"/>
    </xf>
    <xf numFmtId="165" fontId="20" fillId="2" borderId="13" xfId="3" applyNumberFormat="1" applyFont="1" applyBorder="1" applyAlignment="1" applyProtection="1">
      <alignment horizontal="left" vertical="top" wrapText="1"/>
      <protection locked="0"/>
    </xf>
    <xf numFmtId="0" fontId="13" fillId="0" borderId="0" xfId="1" applyFont="1" applyAlignment="1">
      <alignment vertical="top" wrapText="1"/>
    </xf>
    <xf numFmtId="0" fontId="21" fillId="0" borderId="0" xfId="0" applyFont="1" applyFill="1" applyAlignment="1">
      <alignment horizontal="left" vertical="top"/>
    </xf>
    <xf numFmtId="0" fontId="1" fillId="0" borderId="16" xfId="0" applyFont="1" applyBorder="1" applyAlignment="1">
      <alignment horizontal="left"/>
    </xf>
    <xf numFmtId="0" fontId="8" fillId="0" borderId="13" xfId="3" applyFont="1" applyFill="1" applyBorder="1" applyAlignment="1" applyProtection="1">
      <alignment horizontal="left" vertical="top" wrapText="1"/>
      <protection locked="0"/>
    </xf>
    <xf numFmtId="0" fontId="20" fillId="0" borderId="0" xfId="0" applyFont="1" applyFill="1" applyAlignment="1" applyProtection="1">
      <alignment horizontal="left" vertical="top"/>
    </xf>
    <xf numFmtId="0" fontId="20" fillId="0" borderId="0" xfId="0" applyFont="1" applyFill="1" applyAlignment="1" applyProtection="1">
      <alignment horizontal="left" vertical="top" wrapText="1"/>
    </xf>
    <xf numFmtId="0" fontId="1" fillId="0" borderId="15" xfId="0" applyFont="1" applyFill="1" applyBorder="1" applyAlignment="1" applyProtection="1">
      <alignment horizontal="left"/>
    </xf>
    <xf numFmtId="0" fontId="1" fillId="0" borderId="0" xfId="0" applyFont="1" applyFill="1" applyAlignment="1" applyProtection="1">
      <alignment horizontal="left" vertical="top" wrapText="1"/>
    </xf>
    <xf numFmtId="0" fontId="20" fillId="0" borderId="0" xfId="0" applyFont="1" applyAlignment="1" applyProtection="1">
      <alignment horizontal="left" vertical="top"/>
    </xf>
    <xf numFmtId="0" fontId="22" fillId="0" borderId="16" xfId="0" applyFont="1" applyBorder="1" applyAlignment="1" applyProtection="1">
      <alignment horizontal="left" vertical="top"/>
    </xf>
    <xf numFmtId="0" fontId="22" fillId="0" borderId="0" xfId="0" applyFont="1" applyBorder="1" applyAlignment="1" applyProtection="1">
      <alignment horizontal="left" vertical="top"/>
    </xf>
    <xf numFmtId="0" fontId="7" fillId="0" borderId="0" xfId="0" applyFont="1" applyBorder="1" applyAlignment="1" applyProtection="1">
      <alignment horizontal="left" vertical="top"/>
    </xf>
    <xf numFmtId="165" fontId="8" fillId="2" borderId="13" xfId="3" applyNumberFormat="1" applyFont="1" applyBorder="1" applyAlignment="1" applyProtection="1">
      <alignment horizontal="left" vertical="top" wrapText="1"/>
    </xf>
    <xf numFmtId="49" fontId="8" fillId="2" borderId="13" xfId="3" applyNumberFormat="1" applyFont="1" applyBorder="1" applyAlignment="1" applyProtection="1">
      <alignment horizontal="left" vertical="top" wrapText="1"/>
    </xf>
    <xf numFmtId="0" fontId="0" fillId="0" borderId="0" xfId="1" applyFont="1" applyFill="1" applyAlignment="1">
      <alignment vertical="top" wrapText="1"/>
    </xf>
    <xf numFmtId="0" fontId="13" fillId="0" borderId="0" xfId="1" applyFont="1" applyFill="1" applyAlignment="1">
      <alignment vertical="top"/>
    </xf>
    <xf numFmtId="0" fontId="3" fillId="0" borderId="0" xfId="1" applyFill="1" applyBorder="1" applyAlignment="1">
      <alignment vertical="top" wrapText="1"/>
    </xf>
    <xf numFmtId="0" fontId="0" fillId="0" borderId="0" xfId="1" applyFont="1" applyFill="1" applyBorder="1" applyAlignment="1">
      <alignment vertical="top" wrapText="1"/>
    </xf>
    <xf numFmtId="0" fontId="25" fillId="6" borderId="0" xfId="1" applyFont="1" applyFill="1" applyAlignment="1" applyProtection="1">
      <alignment vertical="center" wrapText="1"/>
    </xf>
    <xf numFmtId="0" fontId="14" fillId="0" borderId="0" xfId="0" applyFont="1" applyFill="1" applyBorder="1" applyAlignment="1" applyProtection="1">
      <alignment wrapText="1"/>
    </xf>
    <xf numFmtId="0" fontId="0" fillId="0" borderId="0" xfId="1" applyFont="1" applyFill="1" applyAlignment="1">
      <alignment vertical="center" wrapText="1"/>
    </xf>
    <xf numFmtId="0" fontId="0" fillId="0" borderId="0" xfId="1" applyFont="1" applyFill="1" applyAlignment="1">
      <alignment horizontal="left" vertical="top" wrapText="1"/>
    </xf>
    <xf numFmtId="0" fontId="25" fillId="7" borderId="0" xfId="1" applyFont="1" applyFill="1" applyAlignment="1" applyProtection="1">
      <alignment vertical="center" wrapText="1"/>
    </xf>
    <xf numFmtId="0" fontId="12" fillId="0" borderId="0" xfId="5" applyFont="1" applyAlignment="1">
      <alignment horizontal="left" vertical="top" wrapText="1"/>
    </xf>
    <xf numFmtId="0" fontId="1" fillId="0" borderId="0" xfId="0" applyFont="1" applyBorder="1" applyAlignment="1">
      <alignment horizontal="left" vertical="top"/>
    </xf>
    <xf numFmtId="0" fontId="0" fillId="0" borderId="0" xfId="0" applyBorder="1" applyAlignment="1" applyProtection="1">
      <alignment horizontal="center" vertical="top"/>
    </xf>
    <xf numFmtId="49" fontId="8" fillId="2" borderId="13" xfId="3" applyNumberFormat="1" applyFont="1" applyBorder="1" applyAlignment="1" applyProtection="1">
      <alignment horizontal="left" vertical="top"/>
    </xf>
    <xf numFmtId="0" fontId="0" fillId="0" borderId="16" xfId="0" applyFont="1" applyBorder="1" applyAlignment="1">
      <alignment horizontal="left" vertical="top"/>
    </xf>
    <xf numFmtId="0" fontId="1" fillId="0" borderId="16" xfId="0" applyFont="1" applyBorder="1" applyAlignment="1" applyProtection="1">
      <alignment horizontal="left" vertical="top"/>
    </xf>
    <xf numFmtId="0" fontId="20" fillId="0" borderId="0" xfId="0" applyFont="1" applyAlignment="1" applyProtection="1">
      <alignment horizontal="left" vertical="top"/>
    </xf>
    <xf numFmtId="0" fontId="20" fillId="0" borderId="16" xfId="0" applyFont="1" applyBorder="1" applyProtection="1"/>
    <xf numFmtId="0" fontId="20" fillId="0" borderId="0" xfId="0" applyNumberFormat="1" applyFont="1" applyBorder="1" applyAlignment="1" applyProtection="1">
      <alignment horizontal="left" vertical="top" wrapText="1"/>
    </xf>
    <xf numFmtId="0" fontId="20" fillId="0" borderId="0" xfId="0" applyFont="1" applyBorder="1" applyAlignment="1" applyProtection="1">
      <alignment horizontal="left" vertical="top"/>
    </xf>
    <xf numFmtId="0" fontId="8" fillId="2" borderId="13" xfId="3"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1" fillId="0" borderId="16" xfId="0" applyFont="1" applyBorder="1" applyAlignment="1">
      <alignment horizontal="left" vertical="top"/>
    </xf>
    <xf numFmtId="0" fontId="0" fillId="0" borderId="0" xfId="0" applyAlignment="1">
      <alignment horizontal="left" vertical="top"/>
    </xf>
    <xf numFmtId="49" fontId="8" fillId="2" borderId="21" xfId="3" applyNumberFormat="1" applyFont="1" applyBorder="1" applyAlignment="1" applyProtection="1">
      <alignment horizontal="left" vertical="top"/>
      <protection locked="0"/>
    </xf>
    <xf numFmtId="0" fontId="30" fillId="0" borderId="0" xfId="2" applyFont="1" applyFill="1" applyAlignment="1">
      <alignment horizontal="left" vertical="center" wrapText="1"/>
    </xf>
    <xf numFmtId="0" fontId="30" fillId="0" borderId="0" xfId="2" applyFont="1" applyFill="1" applyAlignment="1">
      <alignment horizontal="left" vertical="center"/>
    </xf>
    <xf numFmtId="0" fontId="1" fillId="0" borderId="15" xfId="0" applyFont="1" applyBorder="1" applyAlignment="1" applyProtection="1">
      <alignment horizontal="left" vertical="top"/>
      <protection hidden="1"/>
    </xf>
    <xf numFmtId="0" fontId="1" fillId="0" borderId="16" xfId="0" applyFont="1" applyBorder="1" applyAlignment="1" applyProtection="1">
      <alignment horizontal="left" vertical="top"/>
      <protection hidden="1"/>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0" borderId="21" xfId="3" applyNumberFormat="1" applyFont="1" applyFill="1" applyBorder="1" applyAlignment="1" applyProtection="1">
      <alignment horizontal="left" vertical="top" wrapText="1"/>
      <protection locked="0"/>
    </xf>
    <xf numFmtId="49" fontId="8" fillId="0" borderId="22" xfId="3" applyNumberFormat="1" applyFont="1" applyFill="1" applyBorder="1" applyAlignment="1" applyProtection="1">
      <alignment horizontal="left" vertical="top" wrapText="1"/>
      <protection locked="0"/>
    </xf>
    <xf numFmtId="49" fontId="8" fillId="0" borderId="13" xfId="3" applyNumberFormat="1" applyFont="1" applyFill="1" applyBorder="1" applyAlignment="1" applyProtection="1">
      <alignment horizontal="left" vertical="top"/>
      <protection locked="0"/>
    </xf>
    <xf numFmtId="0" fontId="8" fillId="2" borderId="13" xfId="3" applyFont="1" applyBorder="1" applyAlignment="1" applyProtection="1">
      <alignment horizontal="left" vertical="top"/>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20" fillId="0" borderId="0" xfId="0" applyFont="1" applyBorder="1" applyAlignment="1" applyProtection="1">
      <alignment horizontal="center" vertical="top"/>
    </xf>
    <xf numFmtId="0" fontId="7" fillId="3" borderId="0" xfId="4" applyFont="1" applyBorder="1" applyAlignment="1" applyProtection="1">
      <alignment horizontal="left" vertical="top"/>
    </xf>
    <xf numFmtId="0" fontId="12" fillId="0" borderId="0" xfId="5" applyFont="1" applyAlignment="1" applyProtection="1">
      <alignment vertical="top"/>
      <protection hidden="1"/>
    </xf>
    <xf numFmtId="0" fontId="1" fillId="0" borderId="0" xfId="0" applyFont="1" applyAlignment="1">
      <alignment horizontal="left" vertical="top"/>
    </xf>
    <xf numFmtId="0" fontId="12" fillId="0" borderId="0" xfId="5" applyFont="1" applyBorder="1" applyAlignment="1" applyProtection="1">
      <alignment horizontal="left" vertical="top"/>
      <protection hidden="1"/>
    </xf>
    <xf numFmtId="0" fontId="12" fillId="0" borderId="16" xfId="5" applyFont="1" applyBorder="1" applyAlignment="1" applyProtection="1">
      <alignment vertical="top"/>
      <protection hidden="1"/>
    </xf>
    <xf numFmtId="0" fontId="12" fillId="0" borderId="19" xfId="5" applyFont="1" applyBorder="1" applyAlignment="1" applyProtection="1">
      <alignment vertical="top"/>
      <protection hidden="1"/>
    </xf>
    <xf numFmtId="0" fontId="1" fillId="0" borderId="0" xfId="0" applyFont="1" applyFill="1" applyAlignment="1">
      <alignment horizontal="left" vertical="top"/>
    </xf>
    <xf numFmtId="0" fontId="1" fillId="0" borderId="26" xfId="0" applyFont="1" applyFill="1" applyBorder="1" applyAlignment="1">
      <alignment horizontal="left" vertical="top"/>
    </xf>
    <xf numFmtId="0" fontId="1" fillId="0" borderId="0" xfId="0" applyFont="1" applyFill="1" applyBorder="1" applyAlignment="1" applyProtection="1">
      <alignment horizontal="left" vertical="top"/>
    </xf>
    <xf numFmtId="0" fontId="0" fillId="0" borderId="14" xfId="0" applyFont="1" applyBorder="1" applyAlignment="1">
      <alignment horizontal="left" vertical="top"/>
    </xf>
    <xf numFmtId="0" fontId="0" fillId="0" borderId="0" xfId="0" applyFont="1" applyFill="1" applyBorder="1" applyAlignment="1">
      <alignment horizontal="left" vertical="top"/>
    </xf>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 Akzent2" xfId="4" builtinId="34"/>
    <cellStyle name="Ausgabe" xfId="3" builtinId="21"/>
    <cellStyle name="Erklärender Text" xfId="1" builtinId="53"/>
    <cellStyle name="Link" xfId="5" builtinId="8"/>
    <cellStyle name="Standard" xfId="0" builtinId="0"/>
    <cellStyle name="Überschrift" xfId="2" builtinId="15"/>
    <cellStyle name="Überschrift 3" xfId="6" builtinId="18"/>
  </cellStyles>
  <dxfs count="42">
    <dxf>
      <fill>
        <patternFill>
          <bgColor theme="5" tint="0.79998168889431442"/>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patternType="solid">
          <bgColor theme="0"/>
        </patternFill>
      </fill>
    </dxf>
    <dxf>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bgColor theme="5" tint="0.79998168889431442"/>
        </patternFill>
      </fill>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protection locked="0" hidden="0"/>
    </dxf>
    <dxf>
      <protection locked="0" hidden="0"/>
    </dxf>
    <dxf>
      <protection locked="0" hidden="0"/>
    </dxf>
    <dxf>
      <numFmt numFmtId="30" formatCode="@"/>
      <protection locked="0" hidden="0"/>
    </dxf>
    <dxf>
      <protection locked="1" hidden="0"/>
    </dxf>
    <dxf>
      <protection locked="1" hidden="0"/>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numFmt numFmtId="30" formatCode="@"/>
      <protection locked="0"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0000000}" name="keywords" displayName="keywords" ref="B9:B14" totalsRowShown="0" headerRowDxfId="41" dataDxfId="40">
  <tableColumns count="1">
    <tableColumn id="1" xr3:uid="{00000000-0010-0000-0000-000001000000}" name="xs:keyword" dataDxfId="39">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purposes" displayName="purposes" ref="A2:A45" totalsRowShown="0">
  <autoFilter ref="A2:A45" xr:uid="{00000000-0009-0000-0100-000005000000}"/>
  <tableColumns count="1">
    <tableColumn id="2" xr3:uid="{00000000-0010-0000-0100-000002000000}" name="Purpose" dataDxfId="3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2000000}" name="expected_severities" displayName="expected_severities" ref="A3:F42" totalsRowShown="0" headerRowDxfId="37" dataDxfId="36">
  <tableColumns count="6">
    <tableColumn id="6" xr3:uid="{00000000-0010-0000-0200-000006000000}" name="xs:species" dataDxfId="35"/>
    <tableColumn id="2" xr3:uid="{00000000-0010-0000-0200-000002000000}" name="xs:nonRecovery" dataDxfId="34"/>
    <tableColumn id="3" xr3:uid="{00000000-0010-0000-0200-000003000000}" name="xs:mild" dataDxfId="33"/>
    <tableColumn id="4" xr3:uid="{00000000-0010-0000-0200-000004000000}" name="xs:moderate" dataDxfId="32"/>
    <tableColumn id="5" xr3:uid="{00000000-0010-0000-0200-000005000000}" name="xs:severe" dataDxfId="31"/>
    <tableColumn id="10" xr3:uid="{00000000-0010-0000-0200-00000A000000}" name="xs:custom" dataDxfId="3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3000000}" name="fate_of_animals" displayName="fate_of_animals" ref="A3:D42" totalsRowShown="0" headerRowDxfId="29" dataDxfId="28">
  <tableColumns count="4">
    <tableColumn id="5" xr3:uid="{00000000-0010-0000-0300-000005000000}" name="xs:species" dataDxfId="27"/>
    <tableColumn id="2" xr3:uid="{00000000-0010-0000-0300-000002000000}" name="xs:reused" dataDxfId="26"/>
    <tableColumn id="3" xr3:uid="{00000000-0010-0000-0300-000003000000}" name="xs:returned" dataDxfId="25"/>
    <tableColumn id="4" xr3:uid="{00000000-0010-0000-0300-000004000000}" name="xs:rehomed"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ebgate.ec.europa.eu/envdataportal/web/resources/alures/submission/nts/list"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60"/>
  <sheetViews>
    <sheetView tabSelected="1" topLeftCell="C1" zoomScaleNormal="100" workbookViewId="0">
      <selection activeCell="D5" sqref="D5:F5"/>
    </sheetView>
  </sheetViews>
  <sheetFormatPr baseColWidth="10" defaultColWidth="9" defaultRowHeight="15" x14ac:dyDescent="0.25"/>
  <cols>
    <col min="1" max="1" width="13.140625" style="3" hidden="1" customWidth="1"/>
    <col min="2" max="2" width="16.28515625" style="4" hidden="1" customWidth="1"/>
    <col min="3" max="3" width="49.28515625" style="11" customWidth="1"/>
    <col min="4" max="4" width="12" style="14" customWidth="1"/>
    <col min="5" max="5" width="29.7109375" style="12" customWidth="1"/>
    <col min="6" max="6" width="15.140625" style="2" customWidth="1"/>
    <col min="7" max="7" width="68.5703125" style="10" customWidth="1"/>
    <col min="8" max="8" width="55.140625" style="37" hidden="1" customWidth="1"/>
    <col min="9" max="9" width="75.28515625" style="23" hidden="1" customWidth="1"/>
    <col min="10" max="10" width="29" style="2" customWidth="1"/>
    <col min="11" max="16384" width="9" style="2"/>
  </cols>
  <sheetData>
    <row r="1" spans="1:10" ht="88.5" customHeight="1" x14ac:dyDescent="0.25">
      <c r="A1" s="3" t="s">
        <v>7</v>
      </c>
      <c r="B1" s="4" t="s">
        <v>7</v>
      </c>
      <c r="C1" s="136" t="s">
        <v>4969</v>
      </c>
      <c r="D1" s="137"/>
      <c r="E1" s="137"/>
      <c r="F1" s="137"/>
      <c r="G1" s="115" t="s">
        <v>4970</v>
      </c>
      <c r="H1" s="22"/>
      <c r="J1" s="120" t="s">
        <v>4967</v>
      </c>
    </row>
    <row r="2" spans="1:10" ht="16.149999999999999" hidden="1" customHeight="1" x14ac:dyDescent="0.25">
      <c r="A2" s="5" t="s">
        <v>152</v>
      </c>
      <c r="B2" s="7" t="str">
        <f>IF(TRIM(D2)="","",UPPER(D2))</f>
        <v>AT</v>
      </c>
      <c r="C2" s="92" t="str">
        <f>country_label</f>
        <v>Land</v>
      </c>
      <c r="D2" s="93" t="s">
        <v>35</v>
      </c>
      <c r="E2" s="140"/>
      <c r="F2" s="141"/>
      <c r="G2" s="56"/>
      <c r="H2" s="22"/>
      <c r="I2" s="23" t="str">
        <f>compulsory_field_tinstr&amp;" "</f>
        <v xml:space="preserve">Pflichtfeld </v>
      </c>
    </row>
    <row r="3" spans="1:10" ht="16.149999999999999" hidden="1" customHeight="1" x14ac:dyDescent="0.25">
      <c r="A3" s="5" t="s">
        <v>153</v>
      </c>
      <c r="B3" s="7" t="str">
        <f>IF(TRIM(D3)="","",LOWER(D3))</f>
        <v>de</v>
      </c>
      <c r="C3" s="92" t="str">
        <f>language_label</f>
        <v>Sprache</v>
      </c>
      <c r="D3" s="94" t="s">
        <v>3</v>
      </c>
      <c r="E3" s="140"/>
      <c r="F3" s="141"/>
      <c r="G3" s="56"/>
      <c r="H3" s="22"/>
      <c r="I3" s="23" t="str">
        <f>compulsory_field_tinstr&amp;" "</f>
        <v xml:space="preserve">Pflichtfeld </v>
      </c>
    </row>
    <row r="4" spans="1:10" s="54" customFormat="1" ht="31.5" hidden="1" customHeight="1" x14ac:dyDescent="0.25">
      <c r="A4" s="5" t="s">
        <v>509</v>
      </c>
      <c r="B4" s="4">
        <f>IF(TRIM(D4)="","",VALUE(MID(D4,SEARCH("[", D4)+1,SEARCH("]",D4)-SEARCH("[",D4)-1)))</f>
        <v>1</v>
      </c>
      <c r="C4" s="92" t="str">
        <f>euSubmission_label</f>
        <v>Übermittlung an die EU</v>
      </c>
      <c r="D4" s="94" t="s">
        <v>4935</v>
      </c>
      <c r="E4" s="142"/>
      <c r="F4" s="143"/>
      <c r="G4" s="56"/>
      <c r="H4" s="22"/>
      <c r="I4" s="23" t="str">
        <f>compulsory_field_tinstr&amp;" "&amp;" "&amp;not_published_instr&amp;" "&amp;euSubmission_instr</f>
        <v>Pflichtfeld  Das Feld wird nicht veröffentlicht. Bitte angeben, ob das Projekt in den Anwendungsbereich der Richtlinie fällt oder nicht.</v>
      </c>
    </row>
    <row r="5" spans="1:10" x14ac:dyDescent="0.25">
      <c r="A5" s="5" t="s">
        <v>154</v>
      </c>
      <c r="B5" s="7" t="str">
        <f>IF(TRIM(D5)="","",D5)</f>
        <v/>
      </c>
      <c r="C5" s="98" t="str">
        <f>projectTitle_label</f>
        <v>Titel des Projekts                     (max. 500 Zeichen)</v>
      </c>
      <c r="D5" s="130"/>
      <c r="E5" s="130"/>
      <c r="F5" s="130"/>
      <c r="G5" s="56" t="s">
        <v>550</v>
      </c>
      <c r="I5" s="23" t="str">
        <f>compulsory_field_tinstr&amp;" "&amp;maxLength_500_tinstr</f>
        <v>Pflichtfeld Maximale Länge 500 Zeichen.</v>
      </c>
    </row>
    <row r="6" spans="1:10" s="54" customFormat="1" hidden="1" x14ac:dyDescent="0.25">
      <c r="A6" s="5" t="s">
        <v>538</v>
      </c>
      <c r="B6" s="7" t="str">
        <f>IF(TRIM(D6)="","",D6)</f>
        <v/>
      </c>
      <c r="C6" s="101" t="str">
        <f>ntsId_label</f>
        <v>Kennung der NTP (wird von Behörde ausgefüllt)</v>
      </c>
      <c r="D6" s="144"/>
      <c r="E6" s="145"/>
      <c r="F6" s="103"/>
      <c r="G6" s="99"/>
      <c r="H6" s="27"/>
      <c r="I6" s="23" t="str">
        <f>ntsId_instr&amp;" "&amp;ntsId_tinstr</f>
        <v>Vom zentralen System der Europäischen Kommission zugewiesene eindeutige NTP-Kennung  Nur auszufüllen bei der Aktualisierung einer im System der Europäischen Kommission bereits gespeicherten NTP.</v>
      </c>
    </row>
    <row r="7" spans="1:10" ht="31.9" hidden="1" customHeight="1" x14ac:dyDescent="0.25">
      <c r="A7" s="5" t="s">
        <v>511</v>
      </c>
      <c r="B7" s="15" t="str">
        <f>IF(TRIM(D7)="","",D7)</f>
        <v/>
      </c>
      <c r="C7" s="102" t="str">
        <f>ntsNationalId_label</f>
        <v>Nationale Kennung der NTP (wird von Behörde ausgefüllt)</v>
      </c>
      <c r="D7" s="146"/>
      <c r="E7" s="146"/>
      <c r="F7" s="146"/>
      <c r="H7" s="27"/>
      <c r="I7" s="23" t="str">
        <f>not_published_instr&amp;" "&amp;ntsNationalId_instr&amp;" "&amp;maxLength_500_tinstr</f>
        <v>Das Feld wird nicht veröffentlicht. Nationale Kennung der NTP Maximale Länge 500 Zeichen.</v>
      </c>
    </row>
    <row r="8" spans="1:10" ht="38.25" customHeight="1" x14ac:dyDescent="0.25">
      <c r="A8" s="5" t="s">
        <v>155</v>
      </c>
      <c r="B8" s="4" t="str">
        <f>IF(TRIM(D8)="","",D8)</f>
        <v/>
      </c>
      <c r="C8" s="104" t="str">
        <f>projectDuration_label</f>
        <v>Projektdauer</v>
      </c>
      <c r="D8" s="100"/>
      <c r="E8" s="138" t="str">
        <f>duration_unit_label</f>
        <v>(in Monaten)</v>
      </c>
      <c r="F8" s="139"/>
      <c r="G8" s="117" t="s">
        <v>4961</v>
      </c>
      <c r="H8" s="27"/>
      <c r="I8" s="23" t="str">
        <f>compulsory_field_tinstr&amp;" "&amp;projectDuration_instr&amp;" "&amp;projectDuration_tinstr</f>
        <v>Pflichtfeld Projektdauer in Monaten Muss eine ganze Zahl zwischen 1 und 60 sein.</v>
      </c>
    </row>
    <row r="9" spans="1:10" x14ac:dyDescent="0.25">
      <c r="A9" s="5" t="s">
        <v>514</v>
      </c>
      <c r="B9" s="4" t="s">
        <v>156</v>
      </c>
      <c r="C9" s="158" t="str">
        <f>keywords_label</f>
        <v>Schlüsselbegriffe                    (je max. 50 Zeichen)</v>
      </c>
      <c r="D9" s="158"/>
      <c r="E9" s="158"/>
      <c r="F9" s="159"/>
      <c r="G9" s="112" t="s">
        <v>4950</v>
      </c>
      <c r="I9" s="23" t="str">
        <f>compulsory_field_tinstr&amp;" "&amp;at_least_one_keyword_mssg</f>
        <v>Pflichtfeld Bitte mindestens einen Schlüsselbegriff eingeben.</v>
      </c>
    </row>
    <row r="10" spans="1:10" x14ac:dyDescent="0.25">
      <c r="A10" s="5"/>
      <c r="B10" s="7" t="str">
        <f t="shared" ref="B10:B14" si="0">IF(TRIM(D10)="","",D10)</f>
        <v/>
      </c>
      <c r="C10" s="16" t="str">
        <f>keyword_label &amp; " " &amp; 1</f>
        <v>Schlüsselbegriff 1</v>
      </c>
      <c r="D10" s="130"/>
      <c r="E10" s="130"/>
      <c r="F10" s="130"/>
      <c r="I10" s="23" t="str">
        <f>maxLength_50_tinstr&amp;" "&amp;keyword_tinstr</f>
        <v>Maximale Länge 50 Zeichen einschl. Leerzeichen. Kann aus mehr als einem Wort bestehen.</v>
      </c>
    </row>
    <row r="11" spans="1:10" x14ac:dyDescent="0.25">
      <c r="A11" s="5"/>
      <c r="B11" s="7" t="str">
        <f t="shared" si="0"/>
        <v/>
      </c>
      <c r="C11" s="16" t="str">
        <f>keyword_label &amp; " " &amp; 2</f>
        <v>Schlüsselbegriff 2</v>
      </c>
      <c r="D11" s="132"/>
      <c r="E11" s="132"/>
      <c r="F11" s="132"/>
      <c r="I11" s="23" t="str">
        <f>maxLength_50_tinstr&amp;" "&amp;keyword_tinstr</f>
        <v>Maximale Länge 50 Zeichen einschl. Leerzeichen. Kann aus mehr als einem Wort bestehen.</v>
      </c>
    </row>
    <row r="12" spans="1:10" x14ac:dyDescent="0.25">
      <c r="A12" s="5"/>
      <c r="B12" s="7" t="str">
        <f t="shared" si="0"/>
        <v/>
      </c>
      <c r="C12" s="16" t="str">
        <f>keyword_label &amp; " " &amp; 3</f>
        <v>Schlüsselbegriff 3</v>
      </c>
      <c r="D12" s="132"/>
      <c r="E12" s="132"/>
      <c r="F12" s="132"/>
      <c r="I12" s="23" t="str">
        <f>maxLength_50_tinstr&amp;" "&amp;keyword_tinstr</f>
        <v>Maximale Länge 50 Zeichen einschl. Leerzeichen. Kann aus mehr als einem Wort bestehen.</v>
      </c>
    </row>
    <row r="13" spans="1:10" x14ac:dyDescent="0.25">
      <c r="A13" s="5"/>
      <c r="B13" s="7" t="str">
        <f t="shared" si="0"/>
        <v/>
      </c>
      <c r="C13" s="16" t="str">
        <f>keyword_label &amp; " " &amp; 4</f>
        <v>Schlüsselbegriff 4</v>
      </c>
      <c r="D13" s="148"/>
      <c r="E13" s="148"/>
      <c r="F13" s="148"/>
      <c r="I13" s="23" t="str">
        <f>maxLength_50_tinstr&amp;" "&amp;keyword_tinstr</f>
        <v>Maximale Länge 50 Zeichen einschl. Leerzeichen. Kann aus mehr als einem Wort bestehen.</v>
      </c>
    </row>
    <row r="14" spans="1:10" x14ac:dyDescent="0.25">
      <c r="A14" s="5"/>
      <c r="B14" s="7" t="str">
        <f t="shared" si="0"/>
        <v/>
      </c>
      <c r="C14" s="16" t="str">
        <f>keyword_label &amp; " " &amp; 5</f>
        <v>Schlüsselbegriff 5</v>
      </c>
      <c r="D14" s="132"/>
      <c r="E14" s="132"/>
      <c r="F14" s="132"/>
      <c r="G14" s="19"/>
      <c r="I14" s="23" t="str">
        <f>maxLength_50_tinstr&amp;" "&amp;keyword_tinstr</f>
        <v>Maximale Länge 50 Zeichen einschl. Leerzeichen. Kann aus mehr als einem Wort bestehen.</v>
      </c>
    </row>
    <row r="15" spans="1:10" x14ac:dyDescent="0.25">
      <c r="A15" s="5" t="s">
        <v>515</v>
      </c>
      <c r="C15" s="155" t="str" cm="1">
        <f t="array" ref="C15">projectPurposes_label</f>
        <v>Projektziel(e)</v>
      </c>
      <c r="D15" s="155"/>
      <c r="E15" s="155"/>
      <c r="F15" s="155"/>
      <c r="G15" s="56" t="s">
        <v>550</v>
      </c>
      <c r="I15" s="23" t="str">
        <f>compulsory_field_tinstr&amp;" "&amp;projectPurposes_tinstr&amp;" "&amp;at_least_one_purpose_mssg</f>
        <v>Pflichtfeld Bitte das Blatt „Projektziel(e)“ ausfüllen. Bitte mindestens ein Ziel angeben.</v>
      </c>
    </row>
    <row r="16" spans="1:10" x14ac:dyDescent="0.25">
      <c r="A16" s="5"/>
      <c r="C16" s="154" t="str">
        <f>objectives_and_benefits_label</f>
        <v>Ziele und zu erwartender Nutzen des Projekts</v>
      </c>
      <c r="D16" s="154"/>
      <c r="E16" s="154"/>
      <c r="F16" s="154"/>
      <c r="G16" s="154"/>
    </row>
    <row r="17" spans="1:9" x14ac:dyDescent="0.25">
      <c r="A17" s="5"/>
      <c r="C17" s="161" t="str">
        <f>projectObjectives_label</f>
        <v>Projektziele                                                                                                                                                               (max. 2500 Zeichen)</v>
      </c>
      <c r="D17" s="161"/>
      <c r="E17" s="161"/>
      <c r="F17" s="161"/>
      <c r="G17" s="56"/>
    </row>
    <row r="18" spans="1:9" ht="155.25" customHeight="1" x14ac:dyDescent="0.25">
      <c r="A18" s="5" t="s">
        <v>157</v>
      </c>
      <c r="B18" s="15" t="str">
        <f>IF(TRIM(C18)="","",C18)</f>
        <v/>
      </c>
      <c r="C18" s="131"/>
      <c r="D18" s="132"/>
      <c r="E18" s="132"/>
      <c r="F18" s="132"/>
      <c r="G18" s="111" t="s">
        <v>4945</v>
      </c>
      <c r="H18" s="27" t="str">
        <f>projectObjectives_instr</f>
        <v>Beschreiben Sie die Projektziele (z. B. Erforschung wissenschaftlicher Unbekannter oder Deckung eines wissenschaftlichen oder klinischen Bedarfs).</v>
      </c>
      <c r="I18" s="23" t="str">
        <f>compulsory_field_tinstr&amp;" "&amp;maxLength_2500_tinstr</f>
        <v>Pflichtfeld Maximale Länge 2500 Zeichen.</v>
      </c>
    </row>
    <row r="19" spans="1:9" x14ac:dyDescent="0.25">
      <c r="A19" s="5"/>
      <c r="B19" s="7"/>
      <c r="C19" s="161" t="str">
        <f>potentialBenefits_label</f>
        <v>Potenzieller Nutzen, der sich aus diesem Projekt ergeben dürfte                                                    (max. 2500 Zeichen)</v>
      </c>
      <c r="D19" s="161"/>
      <c r="E19" s="161"/>
      <c r="F19" s="161"/>
      <c r="G19" s="56"/>
    </row>
    <row r="20" spans="1:9" ht="175.5" customHeight="1" x14ac:dyDescent="0.25">
      <c r="A20" s="5" t="s">
        <v>158</v>
      </c>
      <c r="B20" s="15" t="str">
        <f>IF(TRIM(C20)="","",C20)</f>
        <v/>
      </c>
      <c r="C20" s="131"/>
      <c r="D20" s="132"/>
      <c r="E20" s="132"/>
      <c r="F20" s="132"/>
      <c r="G20" s="111" t="s">
        <v>4951</v>
      </c>
      <c r="H20" s="27" t="str">
        <f>potentialBenefits_instr</f>
        <v>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v>
      </c>
      <c r="I20" s="23" t="str">
        <f>compulsory_field_tinstr&amp;" "&amp;maxLength_2500_tinstr</f>
        <v>Pflichtfeld Maximale Länge 2500 Zeichen.</v>
      </c>
    </row>
    <row r="21" spans="1:9" x14ac:dyDescent="0.25">
      <c r="A21" s="5"/>
      <c r="B21" s="7"/>
      <c r="C21" s="121" t="str">
        <f>predicted_harms_label</f>
        <v>Zu erwartender Schaden</v>
      </c>
      <c r="D21" s="121"/>
      <c r="E21" s="121"/>
      <c r="F21" s="121"/>
      <c r="G21" s="121"/>
    </row>
    <row r="22" spans="1:9" x14ac:dyDescent="0.25">
      <c r="A22" s="5"/>
      <c r="B22" s="7"/>
      <c r="C22" s="162" t="str">
        <f>procedures_label</f>
        <v>Tierversuche, bei denen die Tiere in diesem Projekt verwendet werden                                      (max. 2500 Zeichen)</v>
      </c>
      <c r="D22" s="162"/>
      <c r="E22" s="162"/>
      <c r="F22" s="162"/>
      <c r="G22" s="56"/>
    </row>
    <row r="23" spans="1:9" ht="127.5" customHeight="1" x14ac:dyDescent="0.25">
      <c r="A23" s="5" t="s">
        <v>159</v>
      </c>
      <c r="B23" s="15" t="str">
        <f>IF(TRIM(C23)="","",C23)</f>
        <v/>
      </c>
      <c r="C23" s="131"/>
      <c r="D23" s="132"/>
      <c r="E23" s="132"/>
      <c r="F23" s="132"/>
      <c r="G23" s="111" t="s">
        <v>4946</v>
      </c>
      <c r="H23" s="27" t="str">
        <f>procedures_instr</f>
        <v>Bei welchen Verfahren werden die Tiere üblicherweise verwendet (z. B. Injektionen, chirurgische Eingriffe)? Geben Sie die Anzahl und die Dauer dieser Verfahren an.</v>
      </c>
      <c r="I23" s="23" t="str">
        <f>compulsory_field_tinstr&amp;" "&amp;maxLength_2500_tinstr</f>
        <v>Pflichtfeld Maximale Länge 2500 Zeichen.</v>
      </c>
    </row>
    <row r="24" spans="1:9" x14ac:dyDescent="0.25">
      <c r="A24" s="5"/>
      <c r="B24" s="7"/>
      <c r="C24" s="124" t="str" cm="1">
        <f t="array" ref="C24">expectedImpacts_label</f>
        <v>Für die Tiere zu erwartende Auswirkungen/Schäden                                                                              (max. 2500 Zeichen)</v>
      </c>
      <c r="D24" s="124"/>
      <c r="E24" s="124"/>
      <c r="F24" s="124"/>
      <c r="G24" s="56"/>
    </row>
    <row r="25" spans="1:9" ht="127.5" customHeight="1" x14ac:dyDescent="0.25">
      <c r="A25" s="5" t="s">
        <v>160</v>
      </c>
      <c r="B25" s="15" t="str">
        <f>IF(TRIM(C25)="","",C25)</f>
        <v/>
      </c>
      <c r="C25" s="131"/>
      <c r="D25" s="132"/>
      <c r="E25" s="132"/>
      <c r="F25" s="132"/>
      <c r="G25" s="111" t="s">
        <v>4952</v>
      </c>
      <c r="H25" s="27" t="str">
        <f>expectedImpacts_instr</f>
        <v>Welche Auswirkungen/Schäden sind für die Tiere zu erwarten (z. B. Schmerzen, Gewichtsverlust, Inaktivität/eingeschränkte Mobilität, Stress, ungewöhnliches Verhalten) und wie lange halten diese Auswirkungen an?</v>
      </c>
      <c r="I25" s="23" t="str">
        <f>compulsory_field_tinstr&amp;" "&amp;maxLength_2500_tinstr</f>
        <v>Pflichtfeld Maximale Länge 2500 Zeichen.</v>
      </c>
    </row>
    <row r="26" spans="1:9" ht="65.650000000000006" customHeight="1" x14ac:dyDescent="0.25">
      <c r="A26" s="5" t="s">
        <v>516</v>
      </c>
      <c r="C26" s="156" t="str">
        <f>expectedHarms_label</f>
        <v>Erwartete Schäden</v>
      </c>
      <c r="D26" s="156"/>
      <c r="E26" s="156"/>
      <c r="F26" s="157"/>
      <c r="G26" s="97" t="s">
        <v>550</v>
      </c>
      <c r="H26" s="27" t="str">
        <f>expectedHarms_instr</f>
        <v>Welche Arten sollen verwendet werden und wie hoch ist die Anzahl der zu verwendenden Tiere? Welche Schweregrade werden erwartet und wie hoch ist die Anzahl der Tiere je Schweregrad (nach Art)?</v>
      </c>
      <c r="I26" s="23" t="str">
        <f>compulsory_field_tinstr&amp;" "&amp;expectedHarms_tinstr</f>
        <v>Pflichtfeld Bitte das Blatt „Erwartete Schäden“ ausfüllen. Bitte mindestens eine Zeile ausfüllen.</v>
      </c>
    </row>
    <row r="27" spans="1:9" ht="75" x14ac:dyDescent="0.25">
      <c r="A27" s="5" t="s">
        <v>517</v>
      </c>
      <c r="C27" s="153" t="str">
        <f>fateList_label</f>
        <v>Verbleib der am Leben gebliebenen Tiere</v>
      </c>
      <c r="D27" s="153"/>
      <c r="E27" s="153"/>
      <c r="F27" s="153"/>
      <c r="G27" s="113" t="s">
        <v>4966</v>
      </c>
      <c r="H27" s="27" t="str">
        <f>fateList_instr</f>
        <v>Was geschieht mit den am Leben bleibenden Tieren am Ende des Verfahrens?</v>
      </c>
      <c r="I27" s="23" t="str">
        <f>fateList_tinstr</f>
        <v xml:space="preserve">Bitte ggf. das Blatt „Verbleib der am Leben gebliebenen Tiere“ ausfüllen. </v>
      </c>
    </row>
    <row r="28" spans="1:9" x14ac:dyDescent="0.25">
      <c r="C28" s="134" t="str">
        <f>fateReasons_label</f>
        <v>Verbleib ALLER Tiere nach Abschluss des Tierversuchs / des Projekts                                              (max. 2500 Zeichen)</v>
      </c>
      <c r="D28" s="134"/>
      <c r="E28" s="134"/>
      <c r="F28" s="134"/>
      <c r="G28" s="56"/>
    </row>
    <row r="29" spans="1:9" ht="127.5" customHeight="1" x14ac:dyDescent="0.25">
      <c r="A29" s="5" t="s">
        <v>161</v>
      </c>
      <c r="B29" s="15" t="str">
        <f>IF(TRIM(C29)="","",C29)</f>
        <v/>
      </c>
      <c r="C29" s="131"/>
      <c r="D29" s="132"/>
      <c r="E29" s="132"/>
      <c r="F29" s="135"/>
      <c r="G29" s="114" t="s">
        <v>4964</v>
      </c>
      <c r="H29" s="27" t="str">
        <f>fateReasons_instr</f>
        <v>Begründen Sie den geplanten Verbleib der Tiere nach Abschluss des Verfahrens.</v>
      </c>
      <c r="I29" s="23" t="str">
        <f>compulsory_field_tinstr&amp;" "&amp;maxLength_2500_tinstr</f>
        <v>Pflichtfeld Maximale Länge 2500 Zeichen.</v>
      </c>
    </row>
    <row r="30" spans="1:9" x14ac:dyDescent="0.25">
      <c r="A30" s="5"/>
      <c r="B30" s="7"/>
      <c r="C30" s="121" t="str">
        <f>application_of_the_three_rs_label</f>
        <v>Anwendung des Grundsatzes der Vermeidung, Verminderung und Verbesserung (3R-Prinzip)</v>
      </c>
      <c r="D30" s="121"/>
      <c r="E30" s="121"/>
      <c r="F30" s="121"/>
      <c r="G30" s="121"/>
    </row>
    <row r="31" spans="1:9" x14ac:dyDescent="0.25">
      <c r="A31" s="5"/>
      <c r="B31" s="7"/>
      <c r="C31" s="121" t="str">
        <f>replacement_label</f>
        <v>1. Vermeidung                                                                                                                                                            (max. 2500 Zeichen)</v>
      </c>
      <c r="D31" s="121"/>
      <c r="E31" s="121"/>
      <c r="F31" s="121"/>
      <c r="G31" s="56"/>
    </row>
    <row r="32" spans="1:9" ht="147" customHeight="1" x14ac:dyDescent="0.25">
      <c r="A32" s="5" t="s">
        <v>162</v>
      </c>
      <c r="B32" s="15" t="str">
        <f>IF(TRIM(C32)="","",C32)</f>
        <v/>
      </c>
      <c r="C32" s="131"/>
      <c r="D32" s="132"/>
      <c r="E32" s="132"/>
      <c r="F32" s="132"/>
      <c r="G32" s="111" t="s">
        <v>4963</v>
      </c>
      <c r="H32" s="27" t="str">
        <f>replacement_instr</f>
        <v>Geben Sie an, welche tierversuchsfreien Alternativen in diesem Bereich verfügbar sind und warum sie nicht für die Zwecke des Projekts angewendet werden können.</v>
      </c>
      <c r="I32" s="23" t="str">
        <f>compulsory_field_tinstr&amp;" "&amp;maxLength_2500_tinstr</f>
        <v>Pflichtfeld Maximale Länge 2500 Zeichen.</v>
      </c>
    </row>
    <row r="33" spans="1:9" x14ac:dyDescent="0.25">
      <c r="A33" s="5"/>
      <c r="B33" s="7"/>
      <c r="C33" s="133" t="str">
        <f>reduction_label</f>
        <v>2. Verminderung                                                                                                                                                        (max. 2500 Zeichen)</v>
      </c>
      <c r="D33" s="133"/>
      <c r="E33" s="133"/>
      <c r="F33" s="133"/>
      <c r="G33" s="56"/>
    </row>
    <row r="34" spans="1:9" ht="219.75" customHeight="1" x14ac:dyDescent="0.25">
      <c r="A34" s="5" t="s">
        <v>163</v>
      </c>
      <c r="B34" s="15" t="str">
        <f>IF(TRIM(C34)="","",C34)</f>
        <v/>
      </c>
      <c r="C34" s="131"/>
      <c r="D34" s="132"/>
      <c r="E34" s="132"/>
      <c r="F34" s="132"/>
      <c r="G34" s="111" t="s">
        <v>4947</v>
      </c>
      <c r="H34" s="27" t="str">
        <f>reduction_instr</f>
        <v>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v>
      </c>
      <c r="I34" s="23" t="str">
        <f>compulsory_field_tinstr&amp;" "&amp;maxLength_2500_tinstr</f>
        <v>Pflichtfeld Maximale Länge 2500 Zeichen.</v>
      </c>
    </row>
    <row r="35" spans="1:9" x14ac:dyDescent="0.25">
      <c r="A35" s="5"/>
      <c r="B35" s="7"/>
      <c r="C35" s="133" t="str">
        <f>refinement_label</f>
        <v>3. Verbesserung                                                                                                                                                          (max. 2500 Zeichen)</v>
      </c>
      <c r="D35" s="133"/>
      <c r="E35" s="133"/>
      <c r="F35" s="133"/>
      <c r="G35" s="56"/>
    </row>
    <row r="36" spans="1:9" ht="127.5" customHeight="1" x14ac:dyDescent="0.25">
      <c r="A36" s="5" t="s">
        <v>164</v>
      </c>
      <c r="B36" s="15" t="str">
        <f>IF(TRIM(C36)="","",C36)</f>
        <v/>
      </c>
      <c r="C36" s="131"/>
      <c r="D36" s="132"/>
      <c r="E36" s="132"/>
      <c r="F36" s="132"/>
      <c r="G36" s="111" t="s">
        <v>4948</v>
      </c>
      <c r="H36" s="27" t="str">
        <f>refinement_instr</f>
        <v>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v>
      </c>
      <c r="I36" s="23" t="str">
        <f>compulsory_field_tinstr&amp;" "&amp;maxLength_2500_tinstr</f>
        <v>Pflichtfeld Maximale Länge 2500 Zeichen.</v>
      </c>
    </row>
    <row r="37" spans="1:9" x14ac:dyDescent="0.25">
      <c r="A37" s="5"/>
      <c r="B37" s="7"/>
      <c r="C37" s="124" t="str">
        <f>speciesChoiceExplanation_label</f>
        <v>Bitte erläutern Sie die Wahl der Arten und entsprechenden Lebensabschnitte.                              (max. 2500 Zeichen)</v>
      </c>
      <c r="D37" s="124"/>
      <c r="E37" s="124"/>
      <c r="F37" s="124"/>
      <c r="G37" s="56"/>
    </row>
    <row r="38" spans="1:9" ht="127.5" customHeight="1" x14ac:dyDescent="0.25">
      <c r="A38" s="5" t="s">
        <v>165</v>
      </c>
      <c r="B38" s="15" t="str">
        <f>IF(TRIM(C38)="","",C38)</f>
        <v/>
      </c>
      <c r="C38" s="131"/>
      <c r="D38" s="132"/>
      <c r="E38" s="132"/>
      <c r="F38" s="132"/>
      <c r="G38" s="111" t="s">
        <v>4949</v>
      </c>
      <c r="H38" s="27"/>
      <c r="I38" s="23" t="str">
        <f>compulsory_field_tinstr&amp;" "&amp;maxLength_2500_tinstr</f>
        <v>Pflichtfeld Maximale Länge 2500 Zeichen.</v>
      </c>
    </row>
    <row r="39" spans="1:9" ht="30" x14ac:dyDescent="0.25">
      <c r="A39" s="5"/>
      <c r="B39" s="7"/>
      <c r="C39" s="160" t="str">
        <f>project_selected_for_ra_label</f>
        <v>Für die rückblickende Bewertung vorgeschriebenes Projekt (wird von der Behörde ausgefüllt)</v>
      </c>
      <c r="D39" s="160"/>
      <c r="E39" s="160"/>
      <c r="F39" s="160"/>
      <c r="G39" s="17"/>
      <c r="H39" s="27" t="str">
        <f>compulsory_field_for_some_tinstr</f>
        <v>Gilt für die Mitgliedstaaten, in denen die Angabe dieser Informationen gesetzlich vorgeschrieben ist.</v>
      </c>
      <c r="I39" s="23" t="str">
        <f>to_be_filled_in_by_authority_mssg</f>
        <v>Von der zuständigen Behörde auszufüllen.</v>
      </c>
    </row>
    <row r="40" spans="1:9" ht="24" customHeight="1" x14ac:dyDescent="0.25">
      <c r="A40" s="5" t="s">
        <v>166</v>
      </c>
      <c r="B40" s="4" t="str">
        <f>IF(TRIM(D40)="","",VALUE(MID(D40,SEARCH("[", D40)+1,SEARCH("]",D40)-SEARCH("[",D40)-1)))</f>
        <v/>
      </c>
      <c r="C40" s="105" t="str">
        <f>raSelected_label</f>
        <v>Projekt für RB vorgeschrieben?</v>
      </c>
      <c r="D40" s="95"/>
      <c r="E40" s="149" t="str">
        <f>IF((CONCATENATE(B41,B43,B44,B45,B47)&lt;&gt;"")*AND(B40&lt;&gt;1),inconsistent_value_mssg,"")</f>
        <v/>
      </c>
      <c r="F40" s="150"/>
      <c r="H40" s="27"/>
      <c r="I40" s="23" t="str">
        <f>IF(G41="*", compulsory_field_tinstr, "")</f>
        <v/>
      </c>
    </row>
    <row r="41" spans="1:9" ht="32.25" customHeight="1" x14ac:dyDescent="0.25">
      <c r="A41" s="5" t="s">
        <v>167</v>
      </c>
      <c r="B41" s="20" t="str">
        <f>IF(TRIM(D41)="","",D41)</f>
        <v/>
      </c>
      <c r="C41" s="105" t="str">
        <f>raDeadline_label</f>
        <v>Frist für RB</v>
      </c>
      <c r="D41" s="96"/>
      <c r="E41" s="151" t="s">
        <v>63</v>
      </c>
      <c r="F41" s="151"/>
      <c r="G41" s="118" t="s">
        <v>4962</v>
      </c>
      <c r="H41" s="27"/>
      <c r="I41" s="23" t="str">
        <f>IF($B$40=1,compulsory_field_tinstr&amp;" "&amp;date_format_tinstr,"")</f>
        <v/>
      </c>
    </row>
    <row r="42" spans="1:9" x14ac:dyDescent="0.25">
      <c r="A42" s="5"/>
      <c r="B42" s="20"/>
      <c r="C42" s="126" t="str">
        <f>ra_reasons_label</f>
        <v>Gründe für die rückblickende Bewertung</v>
      </c>
      <c r="D42" s="126"/>
      <c r="E42" s="152"/>
      <c r="F42" s="152"/>
      <c r="G42" s="57" t="str">
        <f>IF($B$40=1,"*","")</f>
        <v/>
      </c>
      <c r="H42" s="27"/>
      <c r="I42" s="23" t="str">
        <f>IF($B$40=1,compulsory_field_tinstr&amp;" "&amp; at_least_one_reason_mssg,"")</f>
        <v/>
      </c>
    </row>
    <row r="43" spans="1:9" x14ac:dyDescent="0.25">
      <c r="A43" s="5" t="s">
        <v>168</v>
      </c>
      <c r="B43" s="6" t="str">
        <f t="shared" ref="B43:B45" si="1">IF(TRIM(F43)="","",VALUE(MID(F43,SEARCH("[", F43)+1,SEARCH("]",F43)-SEARCH("[",F43)-1)))</f>
        <v/>
      </c>
      <c r="C43" s="106"/>
      <c r="D43" s="127" t="str">
        <f>severeProcedure_label</f>
        <v>Umfasst schwere Verfahren</v>
      </c>
      <c r="E43" s="127"/>
      <c r="F43" s="95"/>
      <c r="G43" s="17"/>
    </row>
    <row r="44" spans="1:9" ht="14.25" customHeight="1" x14ac:dyDescent="0.25">
      <c r="A44" s="5" t="s">
        <v>169</v>
      </c>
      <c r="B44" s="6" t="str">
        <f t="shared" si="1"/>
        <v/>
      </c>
      <c r="C44" s="107"/>
      <c r="D44" s="128" t="str">
        <f>nhpUse_label</f>
        <v>Verwendung von nichtmenschlichen Primaten</v>
      </c>
      <c r="E44" s="128"/>
      <c r="F44" s="95" t="s">
        <v>6</v>
      </c>
      <c r="G44" s="17"/>
    </row>
    <row r="45" spans="1:9" x14ac:dyDescent="0.25">
      <c r="A45" s="5" t="s">
        <v>170</v>
      </c>
      <c r="B45" s="6" t="str">
        <f t="shared" si="1"/>
        <v/>
      </c>
      <c r="C45" s="108" t="str">
        <f>IF((B47&lt;&gt;"")*AND(B45&lt;&gt;1),inconsistent_value_mssg,"")</f>
        <v/>
      </c>
      <c r="D45" s="128" t="str">
        <f>other_label</f>
        <v>Anderer Grund</v>
      </c>
      <c r="E45" s="128"/>
      <c r="F45" s="95"/>
      <c r="G45" s="17"/>
    </row>
    <row r="46" spans="1:9" s="18" customFormat="1" x14ac:dyDescent="0.25">
      <c r="A46" s="5"/>
      <c r="B46" s="6"/>
      <c r="C46" s="129" t="str">
        <f>otherExplanation_label</f>
        <v>Erläuterung des anderen Grundes für die rückblickende Bewertung</v>
      </c>
      <c r="D46" s="129"/>
      <c r="E46" s="129"/>
      <c r="F46" s="129"/>
      <c r="G46" s="17"/>
      <c r="H46" s="27"/>
      <c r="I46" s="23"/>
    </row>
    <row r="47" spans="1:9" ht="57.4" customHeight="1" x14ac:dyDescent="0.25">
      <c r="A47" s="5" t="s">
        <v>171</v>
      </c>
      <c r="B47" s="15" t="str">
        <f>IF(TRIM(C47)="","",C47)</f>
        <v/>
      </c>
      <c r="C47" s="130"/>
      <c r="D47" s="130"/>
      <c r="E47" s="130"/>
      <c r="F47" s="130"/>
      <c r="G47" s="57" t="str">
        <f>IF($B$45=1,"*","")</f>
        <v/>
      </c>
      <c r="I47" s="27" t="str">
        <f>IF(B45=1, compulsory_field_tinstr&amp;" "&amp;maxLength_500_tinstr, "")</f>
        <v/>
      </c>
    </row>
    <row r="48" spans="1:9" hidden="1" x14ac:dyDescent="0.25">
      <c r="C48" s="125" t="str">
        <f>additional_fields_title</f>
        <v>Zusätzliche Felder</v>
      </c>
      <c r="D48" s="125"/>
      <c r="E48" s="125"/>
      <c r="F48" s="125"/>
      <c r="I48" s="23" t="str">
        <f>additional_fields_tinstr</f>
        <v>Ob das jeweilige Feld auszufüllen ist oder nicht, hängt von den nationalen Vorschriften ab.</v>
      </c>
    </row>
    <row r="49" spans="1:9" s="33" customFormat="1" ht="31.9" hidden="1" customHeight="1" x14ac:dyDescent="0.25">
      <c r="A49" s="5" t="s">
        <v>518</v>
      </c>
      <c r="B49" s="15" t="str">
        <f>IF(TRIM(D49)="","",D49)</f>
        <v/>
      </c>
      <c r="C49" s="21" t="str">
        <f>field1_label</f>
        <v>Nationales Feld 1</v>
      </c>
      <c r="D49" s="123"/>
      <c r="E49" s="123"/>
      <c r="F49" s="123"/>
      <c r="G49" s="10"/>
      <c r="H49" s="27"/>
      <c r="I49" s="23" t="str">
        <f>not_published_instr&amp;" "&amp;maxLength_2500_tinstr</f>
        <v>Das Feld wird nicht veröffentlicht. Maximale Länge 2500 Zeichen.</v>
      </c>
    </row>
    <row r="50" spans="1:9" s="33" customFormat="1" ht="31.5" hidden="1" customHeight="1" x14ac:dyDescent="0.25">
      <c r="A50" s="5" t="s">
        <v>519</v>
      </c>
      <c r="B50" s="15" t="str">
        <f t="shared" ref="B50:B51" si="2">IF(TRIM(D50)="","",D50)</f>
        <v/>
      </c>
      <c r="C50" s="21" t="str">
        <f>field2_label</f>
        <v>Nationales Feld 2</v>
      </c>
      <c r="D50" s="123"/>
      <c r="E50" s="123"/>
      <c r="F50" s="123"/>
      <c r="G50" s="10"/>
      <c r="H50" s="27"/>
      <c r="I50" s="23" t="str">
        <f>not_published_instr&amp;" "&amp;maxLength_2500_tinstr</f>
        <v>Das Feld wird nicht veröffentlicht. Maximale Länge 2500 Zeichen.</v>
      </c>
    </row>
    <row r="51" spans="1:9" s="33" customFormat="1" ht="30.4" hidden="1" customHeight="1" x14ac:dyDescent="0.25">
      <c r="A51" s="5" t="s">
        <v>520</v>
      </c>
      <c r="B51" s="15" t="str">
        <f t="shared" si="2"/>
        <v/>
      </c>
      <c r="C51" s="21" t="str">
        <f>field3_label</f>
        <v>Nationales Feld 3</v>
      </c>
      <c r="D51" s="123"/>
      <c r="E51" s="123"/>
      <c r="F51" s="123"/>
      <c r="G51" s="10"/>
      <c r="H51" s="27"/>
      <c r="I51" s="23" t="str">
        <f>not_published_instr&amp;" "&amp;maxLength_2500_tinstr</f>
        <v>Das Feld wird nicht veröffentlicht. Maximale Länge 2500 Zeichen.</v>
      </c>
    </row>
    <row r="52" spans="1:9" s="40" customFormat="1" ht="30.4" hidden="1" customHeight="1" x14ac:dyDescent="0.25">
      <c r="A52" s="5" t="s">
        <v>521</v>
      </c>
      <c r="B52" s="15" t="str">
        <f t="shared" ref="B52:B53" si="3">IF(TRIM(D52)="","",D52)</f>
        <v/>
      </c>
      <c r="C52" s="21" t="str">
        <f>field4_label</f>
        <v>Nationales Feld 4</v>
      </c>
      <c r="D52" s="123"/>
      <c r="E52" s="123"/>
      <c r="F52" s="123"/>
      <c r="G52" s="10"/>
      <c r="H52" s="27"/>
      <c r="I52" s="23" t="str">
        <f>not_published_instr&amp;" "&amp;maxLength_2500_tinstr</f>
        <v>Das Feld wird nicht veröffentlicht. Maximale Länge 2500 Zeichen.</v>
      </c>
    </row>
    <row r="53" spans="1:9" s="40" customFormat="1" ht="30.4" hidden="1" customHeight="1" x14ac:dyDescent="0.25">
      <c r="A53" s="5" t="s">
        <v>522</v>
      </c>
      <c r="B53" s="15" t="str">
        <f t="shared" si="3"/>
        <v/>
      </c>
      <c r="C53" s="21" t="str">
        <f>field5_label</f>
        <v>Nationales Feld 5</v>
      </c>
      <c r="D53" s="123"/>
      <c r="E53" s="123"/>
      <c r="F53" s="123"/>
      <c r="G53" s="10"/>
      <c r="H53" s="27"/>
      <c r="I53" s="23" t="str">
        <f>not_published_instr&amp;" "&amp;maxLength_2500_tinstr</f>
        <v>Das Feld wird nicht veröffentlicht. Maximale Länge 2500 Zeichen.</v>
      </c>
    </row>
    <row r="54" spans="1:9" s="33" customFormat="1" hidden="1" x14ac:dyDescent="0.25">
      <c r="A54" s="5" t="s">
        <v>523</v>
      </c>
      <c r="B54" s="20" t="str">
        <f>IF(TRIM(D54)="","",D54)</f>
        <v/>
      </c>
      <c r="C54" s="21" t="str">
        <f>projectStartDate_label</f>
        <v>Projektbeginn</v>
      </c>
      <c r="D54" s="109"/>
      <c r="E54" s="122" t="s">
        <v>63</v>
      </c>
      <c r="F54" s="122"/>
      <c r="G54" s="17" t="str">
        <f>project_start_end_date</f>
        <v/>
      </c>
      <c r="H54" s="27"/>
      <c r="I54" s="23" t="str">
        <f>not_published_instr&amp;" "&amp;date_format_tinstr</f>
        <v>Das Feld wird nicht veröffentlicht. Format: TT-MM-JJJJ oder TT/MM/JJJJ je nach den Systemeinstellungen (z. B. 27-05-2022 oder 27/05/2022)</v>
      </c>
    </row>
    <row r="55" spans="1:9" s="33" customFormat="1" hidden="1" x14ac:dyDescent="0.25">
      <c r="A55" s="5" t="s">
        <v>524</v>
      </c>
      <c r="B55" s="20" t="str">
        <f>IF(TRIM(D55)="","",D55)</f>
        <v/>
      </c>
      <c r="C55" s="21" t="str">
        <f>projectEndDate_label</f>
        <v>Projektende</v>
      </c>
      <c r="D55" s="109"/>
      <c r="E55" s="122" t="s">
        <v>63</v>
      </c>
      <c r="F55" s="122"/>
      <c r="G55" s="17" t="str">
        <f>project_start_end_date</f>
        <v/>
      </c>
      <c r="H55" s="27"/>
      <c r="I55" s="23" t="str">
        <f>not_published_instr&amp;" "&amp;date_format_tinstr</f>
        <v>Das Feld wird nicht veröffentlicht. Format: TT-MM-JJJJ oder TT/MM/JJJJ je nach den Systemeinstellungen (z. B. 27-05-2022 oder 27/05/2022)</v>
      </c>
    </row>
    <row r="56" spans="1:9" s="33" customFormat="1" hidden="1" x14ac:dyDescent="0.25">
      <c r="A56" s="5" t="s">
        <v>525</v>
      </c>
      <c r="B56" s="20" t="str">
        <f>IF(TRIM(D56)="","",D56)</f>
        <v/>
      </c>
      <c r="C56" s="21" t="str">
        <f>projectApprovalDate_label</f>
        <v>Datum der Projektgenehmigung</v>
      </c>
      <c r="D56" s="109"/>
      <c r="E56" s="122" t="s">
        <v>63</v>
      </c>
      <c r="F56" s="122"/>
      <c r="G56" s="17" t="str">
        <f>project_approval_date</f>
        <v/>
      </c>
      <c r="H56" s="27"/>
      <c r="I56" s="23" t="str">
        <f>not_published_instr&amp;" "&amp;to_be_filled_in_by_authority_mssg&amp;" "&amp;date_format_tinstr</f>
        <v>Das Feld wird nicht veröffentlicht. Von der zuständigen Behörde auszufüllen. Format: TT-MM-JJJJ oder TT/MM/JJJJ je nach den Systemeinstellungen (z. B. 27-05-2022 oder 27/05/2022)</v>
      </c>
    </row>
    <row r="57" spans="1:9" s="33" customFormat="1" hidden="1" x14ac:dyDescent="0.25">
      <c r="A57" s="5" t="s">
        <v>526</v>
      </c>
      <c r="B57" s="7" t="str">
        <f>IF(TRIM(D57)="","",D57)</f>
        <v/>
      </c>
      <c r="C57" s="21" t="str">
        <f>ICD_code_label &amp; " 1"</f>
        <v>ICD-Code 1</v>
      </c>
      <c r="D57" s="110"/>
      <c r="E57" s="122" t="s">
        <v>63</v>
      </c>
      <c r="F57" s="122"/>
      <c r="G57" s="17"/>
      <c r="H57" s="27"/>
      <c r="I57" s="23" t="str">
        <f>not_published_instr&amp;" "&amp;ICD_code_instr&amp;" "&amp;ICD_code_tinstr</f>
        <v>Das Feld wird nicht veröffentlicht. Code der Internationalen Klassifikation der Krankheiten (ICD) Bis zu einer Genauigkeit von einem 4-stelligen Code.</v>
      </c>
    </row>
    <row r="58" spans="1:9" hidden="1" x14ac:dyDescent="0.25">
      <c r="A58" s="5" t="s">
        <v>527</v>
      </c>
      <c r="B58" s="7" t="str">
        <f t="shared" ref="B58:B60" si="4">IF(TRIM(D58)="","",D58)</f>
        <v/>
      </c>
      <c r="C58" s="21" t="str">
        <f>ICD_code_label &amp; " 2"</f>
        <v>ICD-Code 2</v>
      </c>
      <c r="D58" s="110"/>
      <c r="E58" s="122" t="s">
        <v>63</v>
      </c>
      <c r="F58" s="122"/>
      <c r="G58" s="17"/>
      <c r="H58" s="27"/>
      <c r="I58" s="23" t="str">
        <f>not_published_instr&amp;" "&amp;ICD_code_instr&amp;" "&amp;ICD_code_tinstr</f>
        <v>Das Feld wird nicht veröffentlicht. Code der Internationalen Klassifikation der Krankheiten (ICD) Bis zu einer Genauigkeit von einem 4-stelligen Code.</v>
      </c>
    </row>
    <row r="59" spans="1:9" hidden="1" x14ac:dyDescent="0.25">
      <c r="A59" s="5" t="s">
        <v>528</v>
      </c>
      <c r="B59" s="7" t="str">
        <f t="shared" si="4"/>
        <v/>
      </c>
      <c r="C59" s="21" t="str">
        <f>ICD_code_label &amp; " 3"</f>
        <v>ICD-Code 3</v>
      </c>
      <c r="D59" s="110"/>
      <c r="E59" s="122" t="s">
        <v>63</v>
      </c>
      <c r="F59" s="122"/>
      <c r="G59" s="17"/>
      <c r="H59" s="27"/>
      <c r="I59" s="23" t="str">
        <f>not_published_instr&amp;" "&amp;ICD_code_instr&amp;" "&amp;ICD_code_tinstr</f>
        <v>Das Feld wird nicht veröffentlicht. Code der Internationalen Klassifikation der Krankheiten (ICD) Bis zu einer Genauigkeit von einem 4-stelligen Code.</v>
      </c>
    </row>
    <row r="60" spans="1:9" ht="57" hidden="1" customHeight="1" x14ac:dyDescent="0.25">
      <c r="A60" s="5" t="s">
        <v>532</v>
      </c>
      <c r="B60" s="15" t="str">
        <f t="shared" si="4"/>
        <v/>
      </c>
      <c r="C60" s="102" t="str">
        <f>ntsPreviousVersionExternalLink_label</f>
        <v>Link zur vorherigen Version der NTP außerhalb des Systems der Europäischen Kommission (wird von der Behörde ausgefüllt)</v>
      </c>
      <c r="D60" s="147"/>
      <c r="E60" s="147"/>
      <c r="F60" s="147"/>
      <c r="H60" s="27"/>
      <c r="I60" s="23" t="str">
        <f>ntsPreviousVersionExternalLink_instr&amp;" "&amp;maxLength_500_tinstr</f>
        <v>Übergangsweise zu verwenden, wenn die vorherige Version der NTP möglicherweise nicht im System der Europäischen Kommission vorhanden ist. Maximale Länge 500 Zeichen.</v>
      </c>
    </row>
  </sheetData>
  <sheetProtection algorithmName="SHA-512" hashValue="09+dpCkcSNHYMMQdJRztIjASMijnGTV7YBBLLl/3G3PIB68Qrg9GF1ZV/d8lu83mSgvsRh7r+/JUuJJ3LUHnpw==" saltValue="p4aVzUjhfgwCMwRHcsBn+w==" spinCount="100000" sheet="1" objects="1" scenarios="1"/>
  <mergeCells count="59">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F1"/>
    <mergeCell ref="E8:F8"/>
    <mergeCell ref="D5:F5"/>
    <mergeCell ref="E2:F4"/>
    <mergeCell ref="D6:E6"/>
    <mergeCell ref="D7:F7"/>
    <mergeCell ref="C21:G21"/>
    <mergeCell ref="C23:F23"/>
    <mergeCell ref="C28:F28"/>
    <mergeCell ref="C29:F29"/>
    <mergeCell ref="C30:G30"/>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s>
  <phoneticPr fontId="2" type="noConversion"/>
  <conditionalFormatting sqref="C20">
    <cfRule type="containsBlanks" dxfId="23" priority="24">
      <formula>LEN(TRIM(C20))=0</formula>
    </cfRule>
  </conditionalFormatting>
  <conditionalFormatting sqref="C23">
    <cfRule type="containsBlanks" dxfId="22" priority="23">
      <formula>LEN(TRIM(C23))=0</formula>
    </cfRule>
  </conditionalFormatting>
  <conditionalFormatting sqref="C25">
    <cfRule type="containsBlanks" dxfId="21" priority="22">
      <formula>LEN(TRIM(C25))=0</formula>
    </cfRule>
  </conditionalFormatting>
  <conditionalFormatting sqref="C29">
    <cfRule type="containsBlanks" dxfId="20" priority="21">
      <formula>LEN(TRIM(C29))=0</formula>
    </cfRule>
  </conditionalFormatting>
  <conditionalFormatting sqref="C32">
    <cfRule type="containsBlanks" dxfId="19" priority="20">
      <formula>LEN(TRIM(C32))=0</formula>
    </cfRule>
  </conditionalFormatting>
  <conditionalFormatting sqref="C34">
    <cfRule type="containsBlanks" dxfId="18" priority="19">
      <formula>LEN(TRIM(C34))=0</formula>
    </cfRule>
  </conditionalFormatting>
  <conditionalFormatting sqref="C36">
    <cfRule type="containsBlanks" dxfId="17" priority="18">
      <formula>LEN(TRIM(C36))=0</formula>
    </cfRule>
  </conditionalFormatting>
  <conditionalFormatting sqref="C38">
    <cfRule type="containsBlanks" dxfId="16" priority="17">
      <formula>LEN(TRIM(C38))=0</formula>
    </cfRule>
  </conditionalFormatting>
  <conditionalFormatting sqref="C45">
    <cfRule type="expression" dxfId="15" priority="10">
      <formula>AND(B47&lt;&gt;"",B45&lt;&gt;1)</formula>
    </cfRule>
  </conditionalFormatting>
  <conditionalFormatting sqref="C47:F47">
    <cfRule type="expression" dxfId="14" priority="11">
      <formula>AND(B47="",B45=1)</formula>
    </cfRule>
  </conditionalFormatting>
  <conditionalFormatting sqref="D2:D4 D5:F5 D8 C18">
    <cfRule type="containsBlanks" dxfId="13" priority="43">
      <formula>LEN(TRIM(C2))=0</formula>
    </cfRule>
  </conditionalFormatting>
  <conditionalFormatting sqref="D40">
    <cfRule type="expression" dxfId="12" priority="48">
      <formula>AND($G$41="*",$D$40="")</formula>
    </cfRule>
  </conditionalFormatting>
  <conditionalFormatting sqref="D41">
    <cfRule type="expression" dxfId="11" priority="7">
      <formula>AND($D$41="",$B$40=1)</formula>
    </cfRule>
  </conditionalFormatting>
  <conditionalFormatting sqref="D43:E43">
    <cfRule type="expression" dxfId="10" priority="13">
      <formula>$B$43=1</formula>
    </cfRule>
  </conditionalFormatting>
  <conditionalFormatting sqref="D44:E44">
    <cfRule type="expression" dxfId="9" priority="14">
      <formula>$B$44=1</formula>
    </cfRule>
  </conditionalFormatting>
  <conditionalFormatting sqref="D45:E45">
    <cfRule type="expression" dxfId="8" priority="15">
      <formula>$B$45=1</formula>
    </cfRule>
  </conditionalFormatting>
  <conditionalFormatting sqref="D10:F10">
    <cfRule type="containsBlanks" dxfId="7" priority="1">
      <formula>LEN(TRIM(D10))=0</formula>
    </cfRule>
  </conditionalFormatting>
  <conditionalFormatting sqref="E42">
    <cfRule type="containsBlanks" dxfId="6" priority="16">
      <formula>LEN(TRIM(E42))=0</formula>
    </cfRule>
  </conditionalFormatting>
  <conditionalFormatting sqref="E40:F40">
    <cfRule type="containsBlanks" dxfId="5" priority="12">
      <formula>LEN(TRIM(E40))=0</formula>
    </cfRule>
  </conditionalFormatting>
  <dataValidations xWindow="703" yWindow="1292" count="15">
    <dataValidation type="list" allowBlank="1" showInputMessage="1" showErrorMessage="1" sqref="D3" xr:uid="{00000000-0002-0000-0000-000000000000}">
      <formula1>languages</formula1>
    </dataValidation>
    <dataValidation type="whole" allowBlank="1" showInputMessage="1" showErrorMessage="1" error="Must be a whole number between 1 and 60!" sqref="D8" xr:uid="{00000000-0002-0000-0000-000001000000}">
      <formula1>1</formula1>
      <formula2>60</formula2>
    </dataValidation>
    <dataValidation allowBlank="1" showInputMessage="1" promptTitle="Legend" prompt="M: Mandatory_x000a_NA: Not applicable" sqref="G1" xr:uid="{00000000-0002-0000-0000-000002000000}"/>
    <dataValidation type="list" showInputMessage="1" showErrorMessage="1" sqref="F43:F45" xr:uid="{00000000-0002-0000-0000-000003000000}">
      <formula1>choice_optional</formula1>
    </dataValidation>
    <dataValidation type="list" allowBlank="1" showInputMessage="1" showErrorMessage="1" sqref="D2" xr:uid="{00000000-0002-0000-0000-000004000000}">
      <formula1>countries</formula1>
    </dataValidation>
    <dataValidation type="date" operator="greaterThan" allowBlank="1" showInputMessage="1" showErrorMessage="1" sqref="D41 D54:D56" xr:uid="{00000000-0002-0000-0000-000005000000}">
      <formula1>1</formula1>
    </dataValidation>
    <dataValidation type="textLength" operator="lessThanOrEqual" allowBlank="1" showInputMessage="1" showErrorMessage="1" error="Maximum length is 4 characters!" sqref="D57:D59" xr:uid="{00000000-0002-0000-0000-000006000000}">
      <formula1>4</formula1>
    </dataValidation>
    <dataValidation type="textLength" operator="lessThanOrEqual" allowBlank="1" showInputMessage="1" showErrorMessage="1" error="Maximum length of keyword is 50 characters!" sqref="D10:F14" xr:uid="{00000000-0002-0000-0000-000007000000}">
      <formula1>50</formula1>
    </dataValidation>
    <dataValidation type="textLength" allowBlank="1" showInputMessage="1" showErrorMessage="1" error="Maximum length is 2500 characters!" prompt="Press Alt+Enter for a new line." sqref="C18:F18 C20:F20 C23:F23 C25:F25 C29:F29 C32:F32 C34:F34 C36:F36 C38:F38" xr:uid="{00000000-0002-0000-0000-000008000000}">
      <formula1>1</formula1>
      <formula2>2500</formula2>
    </dataValidation>
    <dataValidation type="list" showInputMessage="1" showErrorMessage="1" sqref="D40" xr:uid="{00000000-0002-0000-0000-000009000000}">
      <formula1>choice_mandatory</formula1>
    </dataValidation>
    <dataValidation type="textLength" operator="lessThanOrEqual" allowBlank="1" showInputMessage="1" showErrorMessage="1" error="Maximum length is 500 characters!" sqref="C47:F47 D7:F7 D60:F60" xr:uid="{00000000-0002-0000-0000-00000A000000}">
      <formula1>500</formula1>
    </dataValidation>
    <dataValidation showInputMessage="1" showErrorMessage="1" sqref="C27:F27 C26" xr:uid="{00000000-0002-0000-0000-00000B000000}"/>
    <dataValidation type="textLength" allowBlank="1" showInputMessage="1" showErrorMessage="1" error="Maximum length of title is 500 characters!" sqref="D5:D6 F5:F6 E5" xr:uid="{00000000-0002-0000-0000-00000C000000}">
      <formula1>1</formula1>
      <formula2>500</formula2>
    </dataValidation>
    <dataValidation type="textLength" operator="lessThanOrEqual" allowBlank="1" showInputMessage="1" showErrorMessage="1" error="Maximum length is 2500 characters!" sqref="D49:F53" xr:uid="{00000000-0002-0000-0000-00000D000000}">
      <formula1>2500</formula1>
    </dataValidation>
    <dataValidation type="list" allowBlank="1" showInputMessage="1" showErrorMessage="1" sqref="D4" xr:uid="{00000000-0002-0000-0000-00000E000000}">
      <formula1>choice_mandatory</formula1>
    </dataValidation>
  </dataValidations>
  <hyperlinks>
    <hyperlink ref="C26:E26" location="'Expected harms'!A1" display="'Expected harms'!A1" xr:uid="{00000000-0004-0000-0000-000000000000}"/>
    <hyperlink ref="C27:F27" location="'Fate of animals kept alive'!B4" display="'Fate of animals kept alive'!B4" xr:uid="{00000000-0004-0000-0000-000001000000}"/>
    <hyperlink ref="C15:D15" location="'Purpose of the project'!B3" display="'Purpose of the project'!B3" xr:uid="{00000000-0004-0000-0000-000002000000}"/>
    <hyperlink ref="J1" r:id="rId1" display="Link: EU-Datenbank ALURES" xr:uid="{82AFEEF1-6980-4C02-84AE-DBA2AC2B465A}"/>
  </hyperlinks>
  <pageMargins left="0.7" right="0.7" top="0.75" bottom="0.75" header="0.3" footer="0.3"/>
  <pageSetup paperSize="9" scale="75" fitToHeight="0"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5"/>
  <sheetViews>
    <sheetView workbookViewId="0">
      <selection activeCell="A3" sqref="A3"/>
    </sheetView>
  </sheetViews>
  <sheetFormatPr baseColWidth="10" defaultColWidth="9.140625" defaultRowHeight="15" x14ac:dyDescent="0.25"/>
  <cols>
    <col min="1" max="1" width="108.28515625" customWidth="1"/>
  </cols>
  <sheetData>
    <row r="1" spans="1:1" ht="23.25" x14ac:dyDescent="0.25">
      <c r="A1" s="28" t="str">
        <f>projectPurposes_label</f>
        <v>Projektziel(e)</v>
      </c>
    </row>
    <row r="2" spans="1:1" ht="15" hidden="1" customHeight="1" x14ac:dyDescent="0.25">
      <c r="A2" s="25" t="s">
        <v>491</v>
      </c>
    </row>
    <row r="3" spans="1:1" x14ac:dyDescent="0.25">
      <c r="A3" s="8"/>
    </row>
    <row r="4" spans="1:1" x14ac:dyDescent="0.25">
      <c r="A4" s="8"/>
    </row>
    <row r="5" spans="1:1" x14ac:dyDescent="0.25">
      <c r="A5" s="8"/>
    </row>
    <row r="6" spans="1:1" x14ac:dyDescent="0.25">
      <c r="A6" s="8"/>
    </row>
    <row r="7" spans="1:1" x14ac:dyDescent="0.25">
      <c r="A7" s="8"/>
    </row>
    <row r="8" spans="1:1" x14ac:dyDescent="0.25">
      <c r="A8" s="8"/>
    </row>
    <row r="9" spans="1:1" x14ac:dyDescent="0.25">
      <c r="A9" s="8"/>
    </row>
    <row r="10" spans="1:1" x14ac:dyDescent="0.25">
      <c r="A10" s="8"/>
    </row>
    <row r="11" spans="1:1" x14ac:dyDescent="0.25">
      <c r="A11" s="8"/>
    </row>
    <row r="12" spans="1:1" x14ac:dyDescent="0.25">
      <c r="A12" s="8"/>
    </row>
    <row r="13" spans="1:1" x14ac:dyDescent="0.25">
      <c r="A13" s="8"/>
    </row>
    <row r="14" spans="1:1" x14ac:dyDescent="0.25">
      <c r="A14" s="8"/>
    </row>
    <row r="15" spans="1:1" x14ac:dyDescent="0.25">
      <c r="A15" s="8"/>
    </row>
    <row r="16" spans="1:1"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sheetData>
  <sheetProtection password="CC4A" sheet="1" objects="1" scenarios="1"/>
  <conditionalFormatting sqref="A3:A45">
    <cfRule type="duplicateValues" dxfId="4" priority="47"/>
  </conditionalFormatting>
  <dataValidations count="1">
    <dataValidation type="list" allowBlank="1" showInputMessage="1" showErrorMessage="1" sqref="A3:A45" xr:uid="{00000000-0002-0000-0100-000000000000}">
      <formula1>purposeShown</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workbookViewId="0">
      <selection activeCell="A4" sqref="A4"/>
    </sheetView>
  </sheetViews>
  <sheetFormatPr baseColWidth="10" defaultColWidth="9" defaultRowHeight="15" x14ac:dyDescent="0.25"/>
  <cols>
    <col min="1" max="1" width="68" style="32" customWidth="1"/>
    <col min="2" max="2" width="17.5703125" style="32" customWidth="1"/>
    <col min="3" max="3" width="15" style="32" customWidth="1"/>
    <col min="4" max="4" width="14.5703125" style="9" customWidth="1"/>
    <col min="5" max="5" width="14.28515625" style="9" customWidth="1"/>
    <col min="6" max="6" width="18.28515625" style="9" hidden="1" customWidth="1"/>
    <col min="7" max="7" width="32.85546875" style="26" customWidth="1"/>
    <col min="8" max="8" width="54.28515625" style="9" customWidth="1"/>
    <col min="9" max="16384" width="9" style="9"/>
  </cols>
  <sheetData>
    <row r="1" spans="1:8" ht="29.25" customHeight="1" thickBot="1" x14ac:dyDescent="0.4">
      <c r="A1" s="28" t="str">
        <f>expectedHarms_label</f>
        <v>Erwartete Schäden</v>
      </c>
      <c r="B1" s="163" t="str">
        <f>numbers_per_severity_label</f>
        <v>Geschätzte Anzahl je Schweregrad</v>
      </c>
      <c r="C1" s="163"/>
      <c r="D1" s="163"/>
      <c r="E1" s="163"/>
      <c r="F1" s="55"/>
      <c r="G1" s="29"/>
    </row>
    <row r="2" spans="1:8" ht="75" customHeight="1" thickBot="1" x14ac:dyDescent="0.3">
      <c r="A2" s="89" t="str">
        <f>species_label</f>
        <v>Art</v>
      </c>
      <c r="B2" s="90" t="str">
        <f>nonRecovery_label</f>
        <v>Keine Wiederherstellung der Lebensfunktion</v>
      </c>
      <c r="C2" s="90" t="str">
        <f>mild_label</f>
        <v>Gering</v>
      </c>
      <c r="D2" s="90" t="str">
        <f>moderate_label</f>
        <v>Mittel</v>
      </c>
      <c r="E2" s="90" t="str">
        <f>severe_label</f>
        <v>Schwer</v>
      </c>
      <c r="F2" s="90" t="str">
        <f>custom_severity_label</f>
        <v>Vom MS festgelegter Schweregrad</v>
      </c>
    </row>
    <row r="3" spans="1:8" ht="13.5" hidden="1" customHeight="1" x14ac:dyDescent="0.25">
      <c r="A3" s="25" t="s">
        <v>179</v>
      </c>
      <c r="B3" s="31" t="s">
        <v>180</v>
      </c>
      <c r="C3" s="31" t="s">
        <v>181</v>
      </c>
      <c r="D3" s="31" t="s">
        <v>182</v>
      </c>
      <c r="E3" s="31" t="s">
        <v>183</v>
      </c>
      <c r="F3" s="31" t="s">
        <v>546</v>
      </c>
    </row>
    <row r="4" spans="1:8" x14ac:dyDescent="0.25">
      <c r="A4" s="8"/>
      <c r="B4" s="24"/>
      <c r="C4" s="1"/>
      <c r="D4" s="1"/>
      <c r="E4" s="1"/>
      <c r="F4" s="1"/>
      <c r="G4" s="26" t="str">
        <f>IF(AND(expected_severities[[#This Row],[xs:species]]&lt;&gt;"",SUM(expected_severities[[#This Row],[xs:nonRecovery]:[xs:custom]])=0),total_number_mssg,IF(AND(expected_severities[[#This Row],[xs:species]]="",SUM(expected_severities[[#This Row],[xs:nonRecovery]:[xs:custom]])&gt;0),select_species_mssg,""))</f>
        <v/>
      </c>
      <c r="H4" s="26" t="str">
        <f>IF(AND(expected_severities[[#This Row],[xs:species]]&lt;&gt;"",OR(expected_severities[[#This Row],[xs:nonRecovery]]="",expected_severities[[#This Row],[xs:mild]]="",expected_severities[[#This Row],[xs:moderate]]="",expected_severities[[#This Row],[xs:severe]]="")),fill_all_cells_mssg,"")</f>
        <v/>
      </c>
    </row>
    <row r="5" spans="1:8" x14ac:dyDescent="0.25">
      <c r="A5" s="8"/>
      <c r="B5" s="24"/>
      <c r="C5" s="1"/>
      <c r="D5" s="1"/>
      <c r="E5" s="1"/>
      <c r="F5" s="1"/>
      <c r="G5" s="26" t="str">
        <f>IF(AND(expected_severities[[#This Row],[xs:species]]&lt;&gt;"",SUM(expected_severities[[#This Row],[xs:nonRecovery]:[xs:custom]])=0),total_number_mssg,IF(AND(expected_severities[[#This Row],[xs:species]]="",SUM(expected_severities[[#This Row],[xs:nonRecovery]:[xs:custom]])&gt;0),select_species_mssg,""))</f>
        <v/>
      </c>
      <c r="H5" s="26" t="str">
        <f>IF(AND(expected_severities[[#This Row],[xs:species]]&lt;&gt;"",OR(expected_severities[[#This Row],[xs:nonRecovery]]="",expected_severities[[#This Row],[xs:mild]]="",expected_severities[[#This Row],[xs:moderate]]="",expected_severities[[#This Row],[xs:severe]]="")),fill_all_cells_mssg,"")</f>
        <v/>
      </c>
    </row>
    <row r="6" spans="1:8" x14ac:dyDescent="0.25">
      <c r="A6" s="8"/>
      <c r="B6" s="24"/>
      <c r="C6" s="1"/>
      <c r="D6" s="1"/>
      <c r="E6" s="1"/>
      <c r="F6" s="1"/>
      <c r="G6" s="26" t="str">
        <f>IF(AND(expected_severities[[#This Row],[xs:species]]&lt;&gt;"",SUM(expected_severities[[#This Row],[xs:nonRecovery]:[xs:custom]])=0),total_number_mssg,IF(AND(expected_severities[[#This Row],[xs:species]]="",SUM(expected_severities[[#This Row],[xs:nonRecovery]:[xs:custom]])&gt;0),select_species_mssg,""))</f>
        <v/>
      </c>
      <c r="H6" s="26" t="str">
        <f>IF(AND(expected_severities[[#This Row],[xs:species]]&lt;&gt;"",OR(expected_severities[[#This Row],[xs:nonRecovery]]="",expected_severities[[#This Row],[xs:mild]]="",expected_severities[[#This Row],[xs:moderate]]="",expected_severities[[#This Row],[xs:severe]]="")),fill_all_cells_mssg,"")</f>
        <v/>
      </c>
    </row>
    <row r="7" spans="1:8" x14ac:dyDescent="0.25">
      <c r="A7" s="8"/>
      <c r="B7" s="24"/>
      <c r="C7" s="1"/>
      <c r="D7" s="1"/>
      <c r="E7" s="1"/>
      <c r="F7" s="1"/>
      <c r="G7" s="26" t="str">
        <f>IF(AND(expected_severities[[#This Row],[xs:species]]&lt;&gt;"",SUM(expected_severities[[#This Row],[xs:nonRecovery]:[xs:custom]])=0),total_number_mssg,IF(AND(expected_severities[[#This Row],[xs:species]]="",SUM(expected_severities[[#This Row],[xs:nonRecovery]:[xs:custom]])&gt;0),select_species_mssg,""))</f>
        <v/>
      </c>
      <c r="H7" s="26" t="str">
        <f>IF(AND(expected_severities[[#This Row],[xs:species]]&lt;&gt;"",OR(expected_severities[[#This Row],[xs:nonRecovery]]="",expected_severities[[#This Row],[xs:mild]]="",expected_severities[[#This Row],[xs:moderate]]="",expected_severities[[#This Row],[xs:severe]]="")),fill_all_cells_mssg,"")</f>
        <v/>
      </c>
    </row>
    <row r="8" spans="1:8" x14ac:dyDescent="0.25">
      <c r="A8" s="8"/>
      <c r="B8" s="24"/>
      <c r="C8" s="1"/>
      <c r="D8" s="1"/>
      <c r="E8" s="1"/>
      <c r="F8" s="1"/>
      <c r="G8" s="26" t="str">
        <f>IF(AND(expected_severities[[#This Row],[xs:species]]&lt;&gt;"",SUM(expected_severities[[#This Row],[xs:nonRecovery]:[xs:custom]])=0),total_number_mssg,IF(AND(expected_severities[[#This Row],[xs:species]]="",SUM(expected_severities[[#This Row],[xs:nonRecovery]:[xs:custom]])&gt;0),select_species_mssg,""))</f>
        <v/>
      </c>
      <c r="H8" s="26" t="str">
        <f>IF(AND(expected_severities[[#This Row],[xs:species]]&lt;&gt;"",OR(expected_severities[[#This Row],[xs:nonRecovery]]="",expected_severities[[#This Row],[xs:mild]]="",expected_severities[[#This Row],[xs:moderate]]="",expected_severities[[#This Row],[xs:severe]]="")),fill_all_cells_mssg,"")</f>
        <v/>
      </c>
    </row>
    <row r="9" spans="1:8" x14ac:dyDescent="0.25">
      <c r="A9" s="8"/>
      <c r="B9" s="24"/>
      <c r="C9" s="1"/>
      <c r="D9" s="1"/>
      <c r="E9" s="1"/>
      <c r="F9" s="1"/>
      <c r="G9" s="26" t="str">
        <f>IF(AND(expected_severities[[#This Row],[xs:species]]&lt;&gt;"",SUM(expected_severities[[#This Row],[xs:nonRecovery]:[xs:custom]])=0),total_number_mssg,IF(AND(expected_severities[[#This Row],[xs:species]]="",SUM(expected_severities[[#This Row],[xs:nonRecovery]:[xs:custom]])&gt;0),select_species_mssg,""))</f>
        <v/>
      </c>
      <c r="H9" s="26" t="str">
        <f>IF(AND(expected_severities[[#This Row],[xs:species]]&lt;&gt;"",OR(expected_severities[[#This Row],[xs:nonRecovery]]="",expected_severities[[#This Row],[xs:mild]]="",expected_severities[[#This Row],[xs:moderate]]="",expected_severities[[#This Row],[xs:severe]]="")),fill_all_cells_mssg,"")</f>
        <v/>
      </c>
    </row>
    <row r="10" spans="1:8" x14ac:dyDescent="0.25">
      <c r="A10" s="8"/>
      <c r="B10" s="24"/>
      <c r="C10" s="1"/>
      <c r="D10" s="1"/>
      <c r="E10" s="1"/>
      <c r="F10" s="1"/>
      <c r="G10" s="26" t="str">
        <f>IF(AND(expected_severities[[#This Row],[xs:species]]&lt;&gt;"",SUM(expected_severities[[#This Row],[xs:nonRecovery]:[xs:custom]])=0),total_number_mssg,IF(AND(expected_severities[[#This Row],[xs:species]]="",SUM(expected_severities[[#This Row],[xs:nonRecovery]:[xs:custom]])&gt;0),select_species_mssg,""))</f>
        <v/>
      </c>
      <c r="H10" s="26" t="str">
        <f>IF(AND(expected_severities[[#This Row],[xs:species]]&lt;&gt;"",OR(expected_severities[[#This Row],[xs:nonRecovery]]="",expected_severities[[#This Row],[xs:mild]]="",expected_severities[[#This Row],[xs:moderate]]="",expected_severities[[#This Row],[xs:severe]]="")),fill_all_cells_mssg,"")</f>
        <v/>
      </c>
    </row>
    <row r="11" spans="1:8" x14ac:dyDescent="0.25">
      <c r="A11" s="8"/>
      <c r="B11" s="24"/>
      <c r="C11" s="1"/>
      <c r="D11" s="1"/>
      <c r="E11" s="1"/>
      <c r="F11" s="1"/>
      <c r="G11" s="26" t="str">
        <f>IF(AND(expected_severities[[#This Row],[xs:species]]&lt;&gt;"",SUM(expected_severities[[#This Row],[xs:nonRecovery]:[xs:custom]])=0),total_number_mssg,IF(AND(expected_severities[[#This Row],[xs:species]]="",SUM(expected_severities[[#This Row],[xs:nonRecovery]:[xs:custom]])&gt;0),select_species_mssg,""))</f>
        <v/>
      </c>
      <c r="H11" s="26" t="str">
        <f>IF(AND(expected_severities[[#This Row],[xs:species]]&lt;&gt;"",OR(expected_severities[[#This Row],[xs:nonRecovery]]="",expected_severities[[#This Row],[xs:mild]]="",expected_severities[[#This Row],[xs:moderate]]="",expected_severities[[#This Row],[xs:severe]]="")),fill_all_cells_mssg,"")</f>
        <v/>
      </c>
    </row>
    <row r="12" spans="1:8" x14ac:dyDescent="0.25">
      <c r="A12" s="8"/>
      <c r="B12" s="24"/>
      <c r="C12" s="1"/>
      <c r="D12" s="1"/>
      <c r="E12" s="1"/>
      <c r="F12" s="1"/>
      <c r="G12" s="26" t="str">
        <f>IF(AND(expected_severities[[#This Row],[xs:species]]&lt;&gt;"",SUM(expected_severities[[#This Row],[xs:nonRecovery]:[xs:custom]])=0),total_number_mssg,IF(AND(expected_severities[[#This Row],[xs:species]]="",SUM(expected_severities[[#This Row],[xs:nonRecovery]:[xs:custom]])&gt;0),select_species_mssg,""))</f>
        <v/>
      </c>
      <c r="H12" s="26" t="str">
        <f>IF(AND(expected_severities[[#This Row],[xs:species]]&lt;&gt;"",OR(expected_severities[[#This Row],[xs:nonRecovery]]="",expected_severities[[#This Row],[xs:mild]]="",expected_severities[[#This Row],[xs:moderate]]="",expected_severities[[#This Row],[xs:severe]]="")),fill_all_cells_mssg,"")</f>
        <v/>
      </c>
    </row>
    <row r="13" spans="1:8" x14ac:dyDescent="0.25">
      <c r="A13" s="8"/>
      <c r="B13" s="24"/>
      <c r="C13" s="1"/>
      <c r="D13" s="1"/>
      <c r="E13" s="1"/>
      <c r="F13" s="1"/>
      <c r="G13" s="26" t="str">
        <f>IF(AND(expected_severities[[#This Row],[xs:species]]&lt;&gt;"",SUM(expected_severities[[#This Row],[xs:nonRecovery]:[xs:custom]])=0),total_number_mssg,IF(AND(expected_severities[[#This Row],[xs:species]]="",SUM(expected_severities[[#This Row],[xs:nonRecovery]:[xs:custom]])&gt;0),select_species_mssg,""))</f>
        <v/>
      </c>
      <c r="H13" s="26" t="str">
        <f>IF(AND(expected_severities[[#This Row],[xs:species]]&lt;&gt;"",OR(expected_severities[[#This Row],[xs:nonRecovery]]="",expected_severities[[#This Row],[xs:mild]]="",expected_severities[[#This Row],[xs:moderate]]="",expected_severities[[#This Row],[xs:severe]]="")),fill_all_cells_mssg,"")</f>
        <v/>
      </c>
    </row>
    <row r="14" spans="1:8" x14ac:dyDescent="0.25">
      <c r="A14" s="8"/>
      <c r="B14" s="24"/>
      <c r="C14" s="1"/>
      <c r="D14" s="1"/>
      <c r="E14" s="1"/>
      <c r="F14" s="1"/>
      <c r="G14" s="26" t="str">
        <f>IF(AND(expected_severities[[#This Row],[xs:species]]&lt;&gt;"",SUM(expected_severities[[#This Row],[xs:nonRecovery]:[xs:custom]])=0),total_number_mssg,IF(AND(expected_severities[[#This Row],[xs:species]]="",SUM(expected_severities[[#This Row],[xs:nonRecovery]:[xs:custom]])&gt;0),select_species_mssg,""))</f>
        <v/>
      </c>
      <c r="H14" s="26" t="str">
        <f>IF(AND(expected_severities[[#This Row],[xs:species]]&lt;&gt;"",OR(expected_severities[[#This Row],[xs:nonRecovery]]="",expected_severities[[#This Row],[xs:mild]]="",expected_severities[[#This Row],[xs:moderate]]="",expected_severities[[#This Row],[xs:severe]]="")),fill_all_cells_mssg,"")</f>
        <v/>
      </c>
    </row>
    <row r="15" spans="1:8" x14ac:dyDescent="0.25">
      <c r="A15" s="8"/>
      <c r="B15" s="24"/>
      <c r="C15" s="1"/>
      <c r="D15" s="1"/>
      <c r="E15" s="1"/>
      <c r="F15" s="1"/>
      <c r="G15" s="26" t="str">
        <f>IF(AND(expected_severities[[#This Row],[xs:species]]&lt;&gt;"",SUM(expected_severities[[#This Row],[xs:nonRecovery]:[xs:custom]])=0),total_number_mssg,IF(AND(expected_severities[[#This Row],[xs:species]]="",SUM(expected_severities[[#This Row],[xs:nonRecovery]:[xs:custom]])&gt;0),select_species_mssg,""))</f>
        <v/>
      </c>
      <c r="H15" s="26" t="str">
        <f>IF(AND(expected_severities[[#This Row],[xs:species]]&lt;&gt;"",OR(expected_severities[[#This Row],[xs:nonRecovery]]="",expected_severities[[#This Row],[xs:mild]]="",expected_severities[[#This Row],[xs:moderate]]="",expected_severities[[#This Row],[xs:severe]]="")),fill_all_cells_mssg,"")</f>
        <v/>
      </c>
    </row>
    <row r="16" spans="1:8" x14ac:dyDescent="0.25">
      <c r="A16" s="8"/>
      <c r="B16" s="24"/>
      <c r="C16" s="1"/>
      <c r="D16" s="1"/>
      <c r="E16" s="1"/>
      <c r="F16" s="1"/>
      <c r="G16" s="26" t="str">
        <f>IF(AND(expected_severities[[#This Row],[xs:species]]&lt;&gt;"",SUM(expected_severities[[#This Row],[xs:nonRecovery]:[xs:custom]])=0),total_number_mssg,IF(AND(expected_severities[[#This Row],[xs:species]]="",SUM(expected_severities[[#This Row],[xs:nonRecovery]:[xs:custom]])&gt;0),select_species_mssg,""))</f>
        <v/>
      </c>
      <c r="H16" s="26" t="str">
        <f>IF(AND(expected_severities[[#This Row],[xs:species]]&lt;&gt;"",OR(expected_severities[[#This Row],[xs:nonRecovery]]="",expected_severities[[#This Row],[xs:mild]]="",expected_severities[[#This Row],[xs:moderate]]="",expected_severities[[#This Row],[xs:severe]]="")),fill_all_cells_mssg,"")</f>
        <v/>
      </c>
    </row>
    <row r="17" spans="1:8" x14ac:dyDescent="0.25">
      <c r="A17" s="8"/>
      <c r="B17" s="24"/>
      <c r="C17" s="1"/>
      <c r="D17" s="1"/>
      <c r="E17" s="1"/>
      <c r="F17" s="1"/>
      <c r="G17" s="26" t="str">
        <f>IF(AND(expected_severities[[#This Row],[xs:species]]&lt;&gt;"",SUM(expected_severities[[#This Row],[xs:nonRecovery]:[xs:custom]])=0),total_number_mssg,IF(AND(expected_severities[[#This Row],[xs:species]]="",SUM(expected_severities[[#This Row],[xs:nonRecovery]:[xs:custom]])&gt;0),select_species_mssg,""))</f>
        <v/>
      </c>
      <c r="H17" s="26" t="str">
        <f>IF(AND(expected_severities[[#This Row],[xs:species]]&lt;&gt;"",OR(expected_severities[[#This Row],[xs:nonRecovery]]="",expected_severities[[#This Row],[xs:mild]]="",expected_severities[[#This Row],[xs:moderate]]="",expected_severities[[#This Row],[xs:severe]]="")),fill_all_cells_mssg,"")</f>
        <v/>
      </c>
    </row>
    <row r="18" spans="1:8" x14ac:dyDescent="0.25">
      <c r="A18" s="8"/>
      <c r="B18" s="24"/>
      <c r="C18" s="1"/>
      <c r="D18" s="1"/>
      <c r="E18" s="1"/>
      <c r="F18" s="1"/>
      <c r="G18" s="26" t="str">
        <f>IF(AND(expected_severities[[#This Row],[xs:species]]&lt;&gt;"",SUM(expected_severities[[#This Row],[xs:nonRecovery]:[xs:custom]])=0),total_number_mssg,IF(AND(expected_severities[[#This Row],[xs:species]]="",SUM(expected_severities[[#This Row],[xs:nonRecovery]:[xs:custom]])&gt;0),select_species_mssg,""))</f>
        <v/>
      </c>
      <c r="H18" s="26" t="str">
        <f>IF(AND(expected_severities[[#This Row],[xs:species]]&lt;&gt;"",OR(expected_severities[[#This Row],[xs:nonRecovery]]="",expected_severities[[#This Row],[xs:mild]]="",expected_severities[[#This Row],[xs:moderate]]="",expected_severities[[#This Row],[xs:severe]]="")),fill_all_cells_mssg,"")</f>
        <v/>
      </c>
    </row>
    <row r="19" spans="1:8" x14ac:dyDescent="0.25">
      <c r="A19" s="8"/>
      <c r="B19" s="24"/>
      <c r="C19" s="1"/>
      <c r="D19" s="1"/>
      <c r="E19" s="1"/>
      <c r="F19" s="1"/>
      <c r="G19" s="26" t="str">
        <f>IF(AND(expected_severities[[#This Row],[xs:species]]&lt;&gt;"",SUM(expected_severities[[#This Row],[xs:nonRecovery]:[xs:custom]])=0),total_number_mssg,IF(AND(expected_severities[[#This Row],[xs:species]]="",SUM(expected_severities[[#This Row],[xs:nonRecovery]:[xs:custom]])&gt;0),select_species_mssg,""))</f>
        <v/>
      </c>
      <c r="H19" s="26" t="str">
        <f>IF(AND(expected_severities[[#This Row],[xs:species]]&lt;&gt;"",OR(expected_severities[[#This Row],[xs:nonRecovery]]="",expected_severities[[#This Row],[xs:mild]]="",expected_severities[[#This Row],[xs:moderate]]="",expected_severities[[#This Row],[xs:severe]]="")),fill_all_cells_mssg,"")</f>
        <v/>
      </c>
    </row>
    <row r="20" spans="1:8" x14ac:dyDescent="0.25">
      <c r="A20" s="8"/>
      <c r="B20" s="24"/>
      <c r="C20" s="1"/>
      <c r="D20" s="1"/>
      <c r="E20" s="1"/>
      <c r="F20" s="1"/>
      <c r="G20" s="26" t="str">
        <f>IF(AND(expected_severities[[#This Row],[xs:species]]&lt;&gt;"",SUM(expected_severities[[#This Row],[xs:nonRecovery]:[xs:custom]])=0),total_number_mssg,IF(AND(expected_severities[[#This Row],[xs:species]]="",SUM(expected_severities[[#This Row],[xs:nonRecovery]:[xs:custom]])&gt;0),select_species_mssg,""))</f>
        <v/>
      </c>
      <c r="H20" s="26" t="str">
        <f>IF(AND(expected_severities[[#This Row],[xs:species]]&lt;&gt;"",OR(expected_severities[[#This Row],[xs:nonRecovery]]="",expected_severities[[#This Row],[xs:mild]]="",expected_severities[[#This Row],[xs:moderate]]="",expected_severities[[#This Row],[xs:severe]]="")),fill_all_cells_mssg,"")</f>
        <v/>
      </c>
    </row>
    <row r="21" spans="1:8" x14ac:dyDescent="0.25">
      <c r="A21" s="8"/>
      <c r="B21" s="24"/>
      <c r="C21" s="1"/>
      <c r="D21" s="1"/>
      <c r="E21" s="1"/>
      <c r="F21" s="1"/>
      <c r="G21" s="26" t="str">
        <f>IF(AND(expected_severities[[#This Row],[xs:species]]&lt;&gt;"",SUM(expected_severities[[#This Row],[xs:nonRecovery]:[xs:custom]])=0),total_number_mssg,IF(AND(expected_severities[[#This Row],[xs:species]]="",SUM(expected_severities[[#This Row],[xs:nonRecovery]:[xs:custom]])&gt;0),select_species_mssg,""))</f>
        <v/>
      </c>
      <c r="H21" s="26" t="str">
        <f>IF(AND(expected_severities[[#This Row],[xs:species]]&lt;&gt;"",OR(expected_severities[[#This Row],[xs:nonRecovery]]="",expected_severities[[#This Row],[xs:mild]]="",expected_severities[[#This Row],[xs:moderate]]="",expected_severities[[#This Row],[xs:severe]]="")),fill_all_cells_mssg,"")</f>
        <v/>
      </c>
    </row>
    <row r="22" spans="1:8" x14ac:dyDescent="0.25">
      <c r="A22" s="8"/>
      <c r="B22" s="24"/>
      <c r="C22" s="1"/>
      <c r="D22" s="1"/>
      <c r="E22" s="1"/>
      <c r="F22" s="1"/>
      <c r="G22" s="26" t="str">
        <f>IF(AND(expected_severities[[#This Row],[xs:species]]&lt;&gt;"",SUM(expected_severities[[#This Row],[xs:nonRecovery]:[xs:custom]])=0),total_number_mssg,IF(AND(expected_severities[[#This Row],[xs:species]]="",SUM(expected_severities[[#This Row],[xs:nonRecovery]:[xs:custom]])&gt;0),select_species_mssg,""))</f>
        <v/>
      </c>
      <c r="H22" s="26" t="str">
        <f>IF(AND(expected_severities[[#This Row],[xs:species]]&lt;&gt;"",OR(expected_severities[[#This Row],[xs:nonRecovery]]="",expected_severities[[#This Row],[xs:mild]]="",expected_severities[[#This Row],[xs:moderate]]="",expected_severities[[#This Row],[xs:severe]]="")),fill_all_cells_mssg,"")</f>
        <v/>
      </c>
    </row>
    <row r="23" spans="1:8" x14ac:dyDescent="0.25">
      <c r="A23" s="8"/>
      <c r="B23" s="24"/>
      <c r="C23" s="1"/>
      <c r="D23" s="1"/>
      <c r="E23" s="1"/>
      <c r="F23" s="1"/>
      <c r="G23" s="26" t="str">
        <f>IF(AND(expected_severities[[#This Row],[xs:species]]&lt;&gt;"",SUM(expected_severities[[#This Row],[xs:nonRecovery]:[xs:custom]])=0),total_number_mssg,IF(AND(expected_severities[[#This Row],[xs:species]]="",SUM(expected_severities[[#This Row],[xs:nonRecovery]:[xs:custom]])&gt;0),select_species_mssg,""))</f>
        <v/>
      </c>
      <c r="H23" s="26" t="str">
        <f>IF(AND(expected_severities[[#This Row],[xs:species]]&lt;&gt;"",OR(expected_severities[[#This Row],[xs:nonRecovery]]="",expected_severities[[#This Row],[xs:mild]]="",expected_severities[[#This Row],[xs:moderate]]="",expected_severities[[#This Row],[xs:severe]]="")),fill_all_cells_mssg,"")</f>
        <v/>
      </c>
    </row>
    <row r="24" spans="1:8" x14ac:dyDescent="0.25">
      <c r="A24" s="8"/>
      <c r="B24" s="24"/>
      <c r="C24" s="1"/>
      <c r="D24" s="1"/>
      <c r="E24" s="1"/>
      <c r="F24" s="1"/>
      <c r="G24" s="26" t="str">
        <f>IF(AND(expected_severities[[#This Row],[xs:species]]&lt;&gt;"",SUM(expected_severities[[#This Row],[xs:nonRecovery]:[xs:custom]])=0),total_number_mssg,IF(AND(expected_severities[[#This Row],[xs:species]]="",SUM(expected_severities[[#This Row],[xs:nonRecovery]:[xs:custom]])&gt;0),select_species_mssg,""))</f>
        <v/>
      </c>
      <c r="H24" s="26" t="str">
        <f>IF(AND(expected_severities[[#This Row],[xs:species]]&lt;&gt;"",OR(expected_severities[[#This Row],[xs:nonRecovery]]="",expected_severities[[#This Row],[xs:mild]]="",expected_severities[[#This Row],[xs:moderate]]="",expected_severities[[#This Row],[xs:severe]]="")),fill_all_cells_mssg,"")</f>
        <v/>
      </c>
    </row>
    <row r="25" spans="1:8" x14ac:dyDescent="0.25">
      <c r="A25" s="8"/>
      <c r="B25" s="24"/>
      <c r="C25" s="1"/>
      <c r="D25" s="1"/>
      <c r="E25" s="1"/>
      <c r="F25" s="1"/>
      <c r="G25" s="26" t="str">
        <f>IF(AND(expected_severities[[#This Row],[xs:species]]&lt;&gt;"",SUM(expected_severities[[#This Row],[xs:nonRecovery]:[xs:custom]])=0),total_number_mssg,IF(AND(expected_severities[[#This Row],[xs:species]]="",SUM(expected_severities[[#This Row],[xs:nonRecovery]:[xs:custom]])&gt;0),select_species_mssg,""))</f>
        <v/>
      </c>
      <c r="H25" s="26" t="str">
        <f>IF(AND(expected_severities[[#This Row],[xs:species]]&lt;&gt;"",OR(expected_severities[[#This Row],[xs:nonRecovery]]="",expected_severities[[#This Row],[xs:mild]]="",expected_severities[[#This Row],[xs:moderate]]="",expected_severities[[#This Row],[xs:severe]]="")),fill_all_cells_mssg,"")</f>
        <v/>
      </c>
    </row>
    <row r="26" spans="1:8" x14ac:dyDescent="0.25">
      <c r="A26" s="8"/>
      <c r="B26" s="24"/>
      <c r="C26" s="1"/>
      <c r="D26" s="1"/>
      <c r="E26" s="1"/>
      <c r="F26" s="1"/>
      <c r="G26" s="26" t="str">
        <f>IF(AND(expected_severities[[#This Row],[xs:species]]&lt;&gt;"",SUM(expected_severities[[#This Row],[xs:nonRecovery]:[xs:custom]])=0),total_number_mssg,IF(AND(expected_severities[[#This Row],[xs:species]]="",SUM(expected_severities[[#This Row],[xs:nonRecovery]:[xs:custom]])&gt;0),select_species_mssg,""))</f>
        <v/>
      </c>
      <c r="H26" s="26" t="str">
        <f>IF(AND(expected_severities[[#This Row],[xs:species]]&lt;&gt;"",OR(expected_severities[[#This Row],[xs:nonRecovery]]="",expected_severities[[#This Row],[xs:mild]]="",expected_severities[[#This Row],[xs:moderate]]="",expected_severities[[#This Row],[xs:severe]]="")),fill_all_cells_mssg,"")</f>
        <v/>
      </c>
    </row>
    <row r="27" spans="1:8" x14ac:dyDescent="0.25">
      <c r="A27" s="8"/>
      <c r="B27" s="24"/>
      <c r="C27" s="1"/>
      <c r="D27" s="1"/>
      <c r="E27" s="1"/>
      <c r="F27" s="1"/>
      <c r="G27" s="26" t="str">
        <f>IF(AND(expected_severities[[#This Row],[xs:species]]&lt;&gt;"",SUM(expected_severities[[#This Row],[xs:nonRecovery]:[xs:custom]])=0),total_number_mssg,IF(AND(expected_severities[[#This Row],[xs:species]]="",SUM(expected_severities[[#This Row],[xs:nonRecovery]:[xs:custom]])&gt;0),select_species_mssg,""))</f>
        <v/>
      </c>
      <c r="H27" s="26" t="str">
        <f>IF(AND(expected_severities[[#This Row],[xs:species]]&lt;&gt;"",OR(expected_severities[[#This Row],[xs:nonRecovery]]="",expected_severities[[#This Row],[xs:mild]]="",expected_severities[[#This Row],[xs:moderate]]="",expected_severities[[#This Row],[xs:severe]]="")),fill_all_cells_mssg,"")</f>
        <v/>
      </c>
    </row>
    <row r="28" spans="1:8" x14ac:dyDescent="0.25">
      <c r="A28" s="8"/>
      <c r="B28" s="24"/>
      <c r="C28" s="1"/>
      <c r="D28" s="1"/>
      <c r="E28" s="1"/>
      <c r="F28" s="1"/>
      <c r="G28" s="26" t="str">
        <f>IF(AND(expected_severities[[#This Row],[xs:species]]&lt;&gt;"",SUM(expected_severities[[#This Row],[xs:nonRecovery]:[xs:custom]])=0),total_number_mssg,IF(AND(expected_severities[[#This Row],[xs:species]]="",SUM(expected_severities[[#This Row],[xs:nonRecovery]:[xs:custom]])&gt;0),select_species_mssg,""))</f>
        <v/>
      </c>
      <c r="H28" s="26" t="str">
        <f>IF(AND(expected_severities[[#This Row],[xs:species]]&lt;&gt;"",OR(expected_severities[[#This Row],[xs:nonRecovery]]="",expected_severities[[#This Row],[xs:mild]]="",expected_severities[[#This Row],[xs:moderate]]="",expected_severities[[#This Row],[xs:severe]]="")),fill_all_cells_mssg,"")</f>
        <v/>
      </c>
    </row>
    <row r="29" spans="1:8" x14ac:dyDescent="0.25">
      <c r="A29" s="8"/>
      <c r="B29" s="24"/>
      <c r="C29" s="1"/>
      <c r="D29" s="1"/>
      <c r="E29" s="1"/>
      <c r="F29" s="1"/>
      <c r="G29" s="26" t="str">
        <f>IF(AND(expected_severities[[#This Row],[xs:species]]&lt;&gt;"",SUM(expected_severities[[#This Row],[xs:nonRecovery]:[xs:custom]])=0),total_number_mssg,IF(AND(expected_severities[[#This Row],[xs:species]]="",SUM(expected_severities[[#This Row],[xs:nonRecovery]:[xs:custom]])&gt;0),select_species_mssg,""))</f>
        <v/>
      </c>
      <c r="H29" s="26" t="str">
        <f>IF(AND(expected_severities[[#This Row],[xs:species]]&lt;&gt;"",OR(expected_severities[[#This Row],[xs:nonRecovery]]="",expected_severities[[#This Row],[xs:mild]]="",expected_severities[[#This Row],[xs:moderate]]="",expected_severities[[#This Row],[xs:severe]]="")),fill_all_cells_mssg,"")</f>
        <v/>
      </c>
    </row>
    <row r="30" spans="1:8" x14ac:dyDescent="0.25">
      <c r="A30" s="8"/>
      <c r="B30" s="24"/>
      <c r="C30" s="1"/>
      <c r="D30" s="1"/>
      <c r="E30" s="1"/>
      <c r="F30" s="1"/>
      <c r="G30" s="26" t="str">
        <f>IF(AND(expected_severities[[#This Row],[xs:species]]&lt;&gt;"",SUM(expected_severities[[#This Row],[xs:nonRecovery]:[xs:custom]])=0),total_number_mssg,IF(AND(expected_severities[[#This Row],[xs:species]]="",SUM(expected_severities[[#This Row],[xs:nonRecovery]:[xs:custom]])&gt;0),select_species_mssg,""))</f>
        <v/>
      </c>
      <c r="H30" s="26" t="str">
        <f>IF(AND(expected_severities[[#This Row],[xs:species]]&lt;&gt;"",OR(expected_severities[[#This Row],[xs:nonRecovery]]="",expected_severities[[#This Row],[xs:mild]]="",expected_severities[[#This Row],[xs:moderate]]="",expected_severities[[#This Row],[xs:severe]]="")),fill_all_cells_mssg,"")</f>
        <v/>
      </c>
    </row>
    <row r="31" spans="1:8" x14ac:dyDescent="0.25">
      <c r="A31" s="8"/>
      <c r="B31" s="24"/>
      <c r="C31" s="1"/>
      <c r="D31" s="1"/>
      <c r="E31" s="1"/>
      <c r="F31" s="1"/>
      <c r="G31" s="26" t="str">
        <f>IF(AND(expected_severities[[#This Row],[xs:species]]&lt;&gt;"",SUM(expected_severities[[#This Row],[xs:nonRecovery]:[xs:custom]])=0),total_number_mssg,IF(AND(expected_severities[[#This Row],[xs:species]]="",SUM(expected_severities[[#This Row],[xs:nonRecovery]:[xs:custom]])&gt;0),select_species_mssg,""))</f>
        <v/>
      </c>
      <c r="H31" s="26" t="str">
        <f>IF(AND(expected_severities[[#This Row],[xs:species]]&lt;&gt;"",OR(expected_severities[[#This Row],[xs:nonRecovery]]="",expected_severities[[#This Row],[xs:mild]]="",expected_severities[[#This Row],[xs:moderate]]="",expected_severities[[#This Row],[xs:severe]]="")),fill_all_cells_mssg,"")</f>
        <v/>
      </c>
    </row>
    <row r="32" spans="1:8" x14ac:dyDescent="0.25">
      <c r="A32" s="8"/>
      <c r="B32" s="24"/>
      <c r="C32" s="1"/>
      <c r="D32" s="1"/>
      <c r="E32" s="1"/>
      <c r="F32" s="1"/>
      <c r="G32" s="26" t="str">
        <f>IF(AND(expected_severities[[#This Row],[xs:species]]&lt;&gt;"",SUM(expected_severities[[#This Row],[xs:nonRecovery]:[xs:custom]])=0),total_number_mssg,IF(AND(expected_severities[[#This Row],[xs:species]]="",SUM(expected_severities[[#This Row],[xs:nonRecovery]:[xs:custom]])&gt;0),select_species_mssg,""))</f>
        <v/>
      </c>
      <c r="H32" s="26" t="str">
        <f>IF(AND(expected_severities[[#This Row],[xs:species]]&lt;&gt;"",OR(expected_severities[[#This Row],[xs:nonRecovery]]="",expected_severities[[#This Row],[xs:mild]]="",expected_severities[[#This Row],[xs:moderate]]="",expected_severities[[#This Row],[xs:severe]]="")),fill_all_cells_mssg,"")</f>
        <v/>
      </c>
    </row>
    <row r="33" spans="1:8" x14ac:dyDescent="0.25">
      <c r="A33" s="8"/>
      <c r="B33" s="24"/>
      <c r="C33" s="1"/>
      <c r="D33" s="1"/>
      <c r="E33" s="1"/>
      <c r="F33" s="1"/>
      <c r="G33" s="26" t="str">
        <f>IF(AND(expected_severities[[#This Row],[xs:species]]&lt;&gt;"",SUM(expected_severities[[#This Row],[xs:nonRecovery]:[xs:custom]])=0),total_number_mssg,IF(AND(expected_severities[[#This Row],[xs:species]]="",SUM(expected_severities[[#This Row],[xs:nonRecovery]:[xs:custom]])&gt;0),select_species_mssg,""))</f>
        <v/>
      </c>
      <c r="H33" s="26" t="str">
        <f>IF(AND(expected_severities[[#This Row],[xs:species]]&lt;&gt;"",OR(expected_severities[[#This Row],[xs:nonRecovery]]="",expected_severities[[#This Row],[xs:mild]]="",expected_severities[[#This Row],[xs:moderate]]="",expected_severities[[#This Row],[xs:severe]]="")),fill_all_cells_mssg,"")</f>
        <v/>
      </c>
    </row>
    <row r="34" spans="1:8" x14ac:dyDescent="0.25">
      <c r="A34" s="8"/>
      <c r="B34" s="24"/>
      <c r="C34" s="1"/>
      <c r="D34" s="1"/>
      <c r="E34" s="1"/>
      <c r="F34" s="1"/>
      <c r="G34" s="26" t="str">
        <f>IF(AND(expected_severities[[#This Row],[xs:species]]&lt;&gt;"",SUM(expected_severities[[#This Row],[xs:nonRecovery]:[xs:custom]])=0),total_number_mssg,IF(AND(expected_severities[[#This Row],[xs:species]]="",SUM(expected_severities[[#This Row],[xs:nonRecovery]:[xs:custom]])&gt;0),select_species_mssg,""))</f>
        <v/>
      </c>
      <c r="H34" s="26" t="str">
        <f>IF(AND(expected_severities[[#This Row],[xs:species]]&lt;&gt;"",OR(expected_severities[[#This Row],[xs:nonRecovery]]="",expected_severities[[#This Row],[xs:mild]]="",expected_severities[[#This Row],[xs:moderate]]="",expected_severities[[#This Row],[xs:severe]]="")),fill_all_cells_mssg,"")</f>
        <v/>
      </c>
    </row>
    <row r="35" spans="1:8" x14ac:dyDescent="0.25">
      <c r="A35" s="8"/>
      <c r="B35" s="24"/>
      <c r="C35" s="1"/>
      <c r="D35" s="1"/>
      <c r="E35" s="1"/>
      <c r="F35" s="1"/>
      <c r="G35" s="26" t="str">
        <f>IF(AND(expected_severities[[#This Row],[xs:species]]&lt;&gt;"",SUM(expected_severities[[#This Row],[xs:nonRecovery]:[xs:custom]])=0),total_number_mssg,IF(AND(expected_severities[[#This Row],[xs:species]]="",SUM(expected_severities[[#This Row],[xs:nonRecovery]:[xs:custom]])&gt;0),select_species_mssg,""))</f>
        <v/>
      </c>
      <c r="H35" s="26" t="str">
        <f>IF(AND(expected_severities[[#This Row],[xs:species]]&lt;&gt;"",OR(expected_severities[[#This Row],[xs:nonRecovery]]="",expected_severities[[#This Row],[xs:mild]]="",expected_severities[[#This Row],[xs:moderate]]="",expected_severities[[#This Row],[xs:severe]]="")),fill_all_cells_mssg,"")</f>
        <v/>
      </c>
    </row>
    <row r="36" spans="1:8" x14ac:dyDescent="0.25">
      <c r="A36" s="8"/>
      <c r="B36" s="24"/>
      <c r="C36" s="1"/>
      <c r="D36" s="1"/>
      <c r="E36" s="1"/>
      <c r="F36" s="1"/>
      <c r="G36" s="26" t="str">
        <f>IF(AND(expected_severities[[#This Row],[xs:species]]&lt;&gt;"",SUM(expected_severities[[#This Row],[xs:nonRecovery]:[xs:custom]])=0),total_number_mssg,IF(AND(expected_severities[[#This Row],[xs:species]]="",SUM(expected_severities[[#This Row],[xs:nonRecovery]:[xs:custom]])&gt;0),select_species_mssg,""))</f>
        <v/>
      </c>
      <c r="H36" s="26" t="str">
        <f>IF(AND(expected_severities[[#This Row],[xs:species]]&lt;&gt;"",OR(expected_severities[[#This Row],[xs:nonRecovery]]="",expected_severities[[#This Row],[xs:mild]]="",expected_severities[[#This Row],[xs:moderate]]="",expected_severities[[#This Row],[xs:severe]]="")),fill_all_cells_mssg,"")</f>
        <v/>
      </c>
    </row>
    <row r="37" spans="1:8" x14ac:dyDescent="0.25">
      <c r="A37" s="8"/>
      <c r="B37" s="24"/>
      <c r="C37" s="1"/>
      <c r="D37" s="1"/>
      <c r="E37" s="1"/>
      <c r="F37" s="1"/>
      <c r="G37" s="26" t="str">
        <f>IF(AND(expected_severities[[#This Row],[xs:species]]&lt;&gt;"",SUM(expected_severities[[#This Row],[xs:nonRecovery]:[xs:custom]])=0),total_number_mssg,IF(AND(expected_severities[[#This Row],[xs:species]]="",SUM(expected_severities[[#This Row],[xs:nonRecovery]:[xs:custom]])&gt;0),select_species_mssg,""))</f>
        <v/>
      </c>
      <c r="H37" s="26" t="str">
        <f>IF(AND(expected_severities[[#This Row],[xs:species]]&lt;&gt;"",OR(expected_severities[[#This Row],[xs:nonRecovery]]="",expected_severities[[#This Row],[xs:mild]]="",expected_severities[[#This Row],[xs:moderate]]="",expected_severities[[#This Row],[xs:severe]]="")),fill_all_cells_mssg,"")</f>
        <v/>
      </c>
    </row>
    <row r="38" spans="1:8" x14ac:dyDescent="0.25">
      <c r="A38" s="8"/>
      <c r="B38" s="24"/>
      <c r="C38" s="1"/>
      <c r="D38" s="1"/>
      <c r="E38" s="1"/>
      <c r="F38" s="1"/>
      <c r="G38" s="26" t="str">
        <f>IF(AND(expected_severities[[#This Row],[xs:species]]&lt;&gt;"",SUM(expected_severities[[#This Row],[xs:nonRecovery]:[xs:custom]])=0),total_number_mssg,IF(AND(expected_severities[[#This Row],[xs:species]]="",SUM(expected_severities[[#This Row],[xs:nonRecovery]:[xs:custom]])&gt;0),select_species_mssg,""))</f>
        <v/>
      </c>
      <c r="H38" s="26" t="str">
        <f>IF(AND(expected_severities[[#This Row],[xs:species]]&lt;&gt;"",OR(expected_severities[[#This Row],[xs:nonRecovery]]="",expected_severities[[#This Row],[xs:mild]]="",expected_severities[[#This Row],[xs:moderate]]="",expected_severities[[#This Row],[xs:severe]]="")),fill_all_cells_mssg,"")</f>
        <v/>
      </c>
    </row>
    <row r="39" spans="1:8" x14ac:dyDescent="0.25">
      <c r="A39" s="8"/>
      <c r="B39" s="24"/>
      <c r="C39" s="1"/>
      <c r="D39" s="1"/>
      <c r="E39" s="1"/>
      <c r="F39" s="1"/>
      <c r="G39" s="26" t="str">
        <f>IF(AND(expected_severities[[#This Row],[xs:species]]&lt;&gt;"",SUM(expected_severities[[#This Row],[xs:nonRecovery]:[xs:custom]])=0),total_number_mssg,IF(AND(expected_severities[[#This Row],[xs:species]]="",SUM(expected_severities[[#This Row],[xs:nonRecovery]:[xs:custom]])&gt;0),select_species_mssg,""))</f>
        <v/>
      </c>
      <c r="H39" s="26" t="str">
        <f>IF(AND(expected_severities[[#This Row],[xs:species]]&lt;&gt;"",OR(expected_severities[[#This Row],[xs:nonRecovery]]="",expected_severities[[#This Row],[xs:mild]]="",expected_severities[[#This Row],[xs:moderate]]="",expected_severities[[#This Row],[xs:severe]]="")),fill_all_cells_mssg,"")</f>
        <v/>
      </c>
    </row>
    <row r="40" spans="1:8" x14ac:dyDescent="0.25">
      <c r="A40" s="8"/>
      <c r="B40" s="24"/>
      <c r="C40" s="1"/>
      <c r="D40" s="1"/>
      <c r="E40" s="1"/>
      <c r="F40" s="1"/>
      <c r="G40" s="26" t="str">
        <f>IF(AND(expected_severities[[#This Row],[xs:species]]&lt;&gt;"",SUM(expected_severities[[#This Row],[xs:nonRecovery]:[xs:custom]])=0),total_number_mssg,IF(AND(expected_severities[[#This Row],[xs:species]]="",SUM(expected_severities[[#This Row],[xs:nonRecovery]:[xs:custom]])&gt;0),select_species_mssg,""))</f>
        <v/>
      </c>
      <c r="H40" s="26" t="str">
        <f>IF(AND(expected_severities[[#This Row],[xs:species]]&lt;&gt;"",OR(expected_severities[[#This Row],[xs:nonRecovery]]="",expected_severities[[#This Row],[xs:mild]]="",expected_severities[[#This Row],[xs:moderate]]="",expected_severities[[#This Row],[xs:severe]]="")),fill_all_cells_mssg,"")</f>
        <v/>
      </c>
    </row>
    <row r="41" spans="1:8" x14ac:dyDescent="0.25">
      <c r="A41" s="8"/>
      <c r="B41" s="24"/>
      <c r="C41" s="1"/>
      <c r="D41" s="1"/>
      <c r="E41" s="1"/>
      <c r="F41" s="1"/>
      <c r="G41" s="26" t="str">
        <f>IF(AND(expected_severities[[#This Row],[xs:species]]&lt;&gt;"",SUM(expected_severities[[#This Row],[xs:nonRecovery]:[xs:custom]])=0),total_number_mssg,IF(AND(expected_severities[[#This Row],[xs:species]]="",SUM(expected_severities[[#This Row],[xs:nonRecovery]:[xs:custom]])&gt;0),select_species_mssg,""))</f>
        <v/>
      </c>
      <c r="H41" s="26" t="str">
        <f>IF(AND(expected_severities[[#This Row],[xs:species]]&lt;&gt;"",OR(expected_severities[[#This Row],[xs:nonRecovery]]="",expected_severities[[#This Row],[xs:mild]]="",expected_severities[[#This Row],[xs:moderate]]="",expected_severities[[#This Row],[xs:severe]]="")),fill_all_cells_mssg,"")</f>
        <v/>
      </c>
    </row>
    <row r="42" spans="1:8" x14ac:dyDescent="0.25">
      <c r="A42" s="8"/>
      <c r="B42" s="24"/>
      <c r="C42" s="1"/>
      <c r="D42" s="1"/>
      <c r="E42" s="1"/>
      <c r="F42" s="1"/>
      <c r="G42" s="26" t="str">
        <f>IF(AND(expected_severities[[#This Row],[xs:species]]&lt;&gt;"",SUM(expected_severities[[#This Row],[xs:nonRecovery]:[xs:custom]])=0),total_number_mssg,IF(AND(expected_severities[[#This Row],[xs:species]]="",SUM(expected_severities[[#This Row],[xs:nonRecovery]:[xs:custom]])&gt;0),select_species_mssg,""))</f>
        <v/>
      </c>
      <c r="H42" s="26" t="str">
        <f>IF(AND(expected_severities[[#This Row],[xs:species]]&lt;&gt;"",OR(expected_severities[[#This Row],[xs:nonRecovery]]="",expected_severities[[#This Row],[xs:mild]]="",expected_severities[[#This Row],[xs:moderate]]="",expected_severities[[#This Row],[xs:severe]]="")),fill_all_cells_mssg,"")</f>
        <v/>
      </c>
    </row>
    <row r="43" spans="1:8" x14ac:dyDescent="0.25">
      <c r="C43" s="9"/>
    </row>
  </sheetData>
  <sheetProtection password="CC4A" sheet="1" selectLockedCells="1"/>
  <mergeCells count="1">
    <mergeCell ref="B1:E1"/>
  </mergeCells>
  <conditionalFormatting sqref="A4:A42">
    <cfRule type="duplicateValues" dxfId="3" priority="3"/>
  </conditionalFormatting>
  <conditionalFormatting sqref="G4:H42">
    <cfRule type="notContainsBlanks" dxfId="2" priority="1">
      <formula>LEN(TRIM(G4))&gt;0</formula>
    </cfRule>
  </conditionalFormatting>
  <dataValidations count="2">
    <dataValidation type="whole" operator="greaterThanOrEqual" allowBlank="1" showInputMessage="1" showErrorMessage="1" sqref="B4:F42" xr:uid="{00000000-0002-0000-0200-000000000000}">
      <formula1>0</formula1>
    </dataValidation>
    <dataValidation type="list" allowBlank="1" showInputMessage="1" showErrorMessage="1" sqref="A4:A42" xr:uid="{00000000-0002-0000-0200-000001000000}">
      <formula1>speciesShown</formula1>
    </dataValidation>
  </dataValidations>
  <pageMargins left="0.7" right="0.7" top="0.75" bottom="0.75" header="0.3" footer="0.3"/>
  <pageSetup paperSize="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workbookViewId="0">
      <selection activeCell="A4" sqref="A4"/>
    </sheetView>
  </sheetViews>
  <sheetFormatPr baseColWidth="10" defaultColWidth="9" defaultRowHeight="15" x14ac:dyDescent="0.25"/>
  <cols>
    <col min="1" max="1" width="67.42578125" style="9" customWidth="1"/>
    <col min="2" max="4" width="20.7109375" style="9" customWidth="1"/>
    <col min="5" max="5" width="37.85546875" style="9" customWidth="1"/>
    <col min="6" max="6" width="65.28515625" style="9" customWidth="1"/>
    <col min="7" max="16384" width="9" style="9"/>
  </cols>
  <sheetData>
    <row r="1" spans="1:6" ht="43.5" customHeight="1" x14ac:dyDescent="0.25">
      <c r="A1" s="91" t="str">
        <f>fateList_label</f>
        <v>Verbleib der am Leben gebliebenen Tiere</v>
      </c>
      <c r="B1" s="164" t="str">
        <f>numbers_per_fate_label</f>
        <v>Geschätzte Anzahl der Tiere, die erneut verwendet, in den Lebensraum/das Haltungssystem zurückgebracht oder privat untergebracht werden.</v>
      </c>
      <c r="C1" s="164"/>
      <c r="D1" s="164"/>
      <c r="E1" s="119" t="s">
        <v>4965</v>
      </c>
    </row>
    <row r="2" spans="1:6" ht="44.25" customHeight="1" thickBot="1" x14ac:dyDescent="0.3">
      <c r="A2" s="30" t="str">
        <f>species_label</f>
        <v>Art</v>
      </c>
      <c r="B2" s="90" t="str">
        <f>reused_label</f>
        <v>Erneut verwendet</v>
      </c>
      <c r="C2" s="90" t="str">
        <f>returned_label</f>
        <v>Zurückgebracht</v>
      </c>
      <c r="D2" s="90" t="str">
        <f>rehomed_label</f>
        <v>Privat untergebracht</v>
      </c>
    </row>
    <row r="3" spans="1:6" ht="15.4" hidden="1" customHeight="1" x14ac:dyDescent="0.25">
      <c r="A3" s="9" t="s">
        <v>179</v>
      </c>
      <c r="B3" s="9" t="s">
        <v>315</v>
      </c>
      <c r="C3" s="9" t="s">
        <v>316</v>
      </c>
      <c r="D3" s="9" t="s">
        <v>317</v>
      </c>
    </row>
    <row r="4" spans="1:6" x14ac:dyDescent="0.25">
      <c r="A4" s="8"/>
      <c r="B4" s="1"/>
      <c r="C4" s="1"/>
      <c r="D4" s="1"/>
      <c r="E4" s="26" t="str">
        <f>IF(AND(fate_of_animals[[#This Row],[xs:species]]&lt;&gt;"",SUM(fate_of_animals[[#This Row],[xs:reused]:[xs:rehomed]])=0),total_number_mssg,IF(AND(fate_of_animals[[#This Row],[xs:species]]="",SUM(fate_of_animals[[#This Row],[xs:reused]:[xs:rehomed]])&gt;0),select_species_mssg,""))</f>
        <v/>
      </c>
      <c r="F4" s="26" t="str">
        <f>IF(AND(fate_of_animals[[#This Row],[xs:species]]&lt;&gt;"",OR(fate_of_animals[[#This Row],[xs:reused]]="",fate_of_animals[[#This Row],[xs:returned]]="",fate_of_animals[[#This Row],[xs:rehomed]]="")),fill_all_cells_mssg,"")</f>
        <v/>
      </c>
    </row>
    <row r="5" spans="1:6" x14ac:dyDescent="0.25">
      <c r="A5" s="8"/>
      <c r="B5" s="1"/>
      <c r="C5" s="1"/>
      <c r="D5" s="1"/>
      <c r="E5" s="26" t="str">
        <f>IF(AND(fate_of_animals[[#This Row],[xs:species]]&lt;&gt;"",SUM(fate_of_animals[[#This Row],[xs:reused]:[xs:rehomed]])=0),total_number_mssg,IF(AND(fate_of_animals[[#This Row],[xs:species]]="",SUM(fate_of_animals[[#This Row],[xs:reused]:[xs:rehomed]])&gt;0),select_species_mssg,""))</f>
        <v/>
      </c>
      <c r="F5" s="26" t="str">
        <f>IF(AND(fate_of_animals[[#This Row],[xs:species]]&lt;&gt;"",OR(fate_of_animals[[#This Row],[xs:reused]]="",fate_of_animals[[#This Row],[xs:returned]]="",fate_of_animals[[#This Row],[xs:rehomed]]="")),fill_all_cells_mssg,"")</f>
        <v/>
      </c>
    </row>
    <row r="6" spans="1:6" x14ac:dyDescent="0.25">
      <c r="A6" s="8"/>
      <c r="B6" s="1"/>
      <c r="C6" s="1"/>
      <c r="D6" s="1"/>
      <c r="E6" s="26" t="str">
        <f>IF(AND(fate_of_animals[[#This Row],[xs:species]]&lt;&gt;"",SUM(fate_of_animals[[#This Row],[xs:reused]:[xs:rehomed]])=0),total_number_mssg,IF(AND(fate_of_animals[[#This Row],[xs:species]]="",SUM(fate_of_animals[[#This Row],[xs:reused]:[xs:rehomed]])&gt;0),select_species_mssg,""))</f>
        <v/>
      </c>
      <c r="F6" s="26" t="str">
        <f>IF(AND(fate_of_animals[[#This Row],[xs:species]]&lt;&gt;"",OR(fate_of_animals[[#This Row],[xs:reused]]="",fate_of_animals[[#This Row],[xs:returned]]="",fate_of_animals[[#This Row],[xs:rehomed]]="")),fill_all_cells_mssg,"")</f>
        <v/>
      </c>
    </row>
    <row r="7" spans="1:6" x14ac:dyDescent="0.25">
      <c r="A7" s="8"/>
      <c r="B7" s="1"/>
      <c r="C7" s="1"/>
      <c r="D7" s="1"/>
      <c r="E7" s="26" t="str">
        <f>IF(AND(fate_of_animals[[#This Row],[xs:species]]&lt;&gt;"",SUM(fate_of_animals[[#This Row],[xs:reused]:[xs:rehomed]])=0),total_number_mssg,IF(AND(fate_of_animals[[#This Row],[xs:species]]="",SUM(fate_of_animals[[#This Row],[xs:reused]:[xs:rehomed]])&gt;0),select_species_mssg,""))</f>
        <v/>
      </c>
      <c r="F7" s="26" t="str">
        <f>IF(AND(fate_of_animals[[#This Row],[xs:species]]&lt;&gt;"",OR(fate_of_animals[[#This Row],[xs:reused]]="",fate_of_animals[[#This Row],[xs:returned]]="",fate_of_animals[[#This Row],[xs:rehomed]]="")),fill_all_cells_mssg,"")</f>
        <v/>
      </c>
    </row>
    <row r="8" spans="1:6" x14ac:dyDescent="0.25">
      <c r="A8" s="8"/>
      <c r="B8" s="1"/>
      <c r="C8" s="1"/>
      <c r="D8" s="1"/>
      <c r="E8" s="26" t="str">
        <f>IF(AND(fate_of_animals[[#This Row],[xs:species]]&lt;&gt;"",SUM(fate_of_animals[[#This Row],[xs:reused]:[xs:rehomed]])=0),total_number_mssg,IF(AND(fate_of_animals[[#This Row],[xs:species]]="",SUM(fate_of_animals[[#This Row],[xs:reused]:[xs:rehomed]])&gt;0),select_species_mssg,""))</f>
        <v/>
      </c>
      <c r="F8" s="26" t="str">
        <f>IF(AND(fate_of_animals[[#This Row],[xs:species]]&lt;&gt;"",OR(fate_of_animals[[#This Row],[xs:reused]]="",fate_of_animals[[#This Row],[xs:returned]]="",fate_of_animals[[#This Row],[xs:rehomed]]="")),fill_all_cells_mssg,"")</f>
        <v/>
      </c>
    </row>
    <row r="9" spans="1:6" x14ac:dyDescent="0.25">
      <c r="A9" s="8"/>
      <c r="B9" s="1"/>
      <c r="C9" s="1"/>
      <c r="D9" s="1"/>
      <c r="E9" s="26" t="str">
        <f>IF(AND(fate_of_animals[[#This Row],[xs:species]]&lt;&gt;"",SUM(fate_of_animals[[#This Row],[xs:reused]:[xs:rehomed]])=0),total_number_mssg,IF(AND(fate_of_animals[[#This Row],[xs:species]]="",SUM(fate_of_animals[[#This Row],[xs:reused]:[xs:rehomed]])&gt;0),select_species_mssg,""))</f>
        <v/>
      </c>
      <c r="F9" s="26" t="str">
        <f>IF(AND(fate_of_animals[[#This Row],[xs:species]]&lt;&gt;"",OR(fate_of_animals[[#This Row],[xs:reused]]="",fate_of_animals[[#This Row],[xs:returned]]="",fate_of_animals[[#This Row],[xs:rehomed]]="")),fill_all_cells_mssg,"")</f>
        <v/>
      </c>
    </row>
    <row r="10" spans="1:6" x14ac:dyDescent="0.25">
      <c r="A10" s="8"/>
      <c r="B10" s="1"/>
      <c r="C10" s="1"/>
      <c r="D10" s="1"/>
      <c r="E10" s="26" t="str">
        <f>IF(AND(fate_of_animals[[#This Row],[xs:species]]&lt;&gt;"",SUM(fate_of_animals[[#This Row],[xs:reused]:[xs:rehomed]])=0),total_number_mssg,IF(AND(fate_of_animals[[#This Row],[xs:species]]="",SUM(fate_of_animals[[#This Row],[xs:reused]:[xs:rehomed]])&gt;0),select_species_mssg,""))</f>
        <v/>
      </c>
      <c r="F10" s="26" t="str">
        <f>IF(AND(fate_of_animals[[#This Row],[xs:species]]&lt;&gt;"",OR(fate_of_animals[[#This Row],[xs:reused]]="",fate_of_animals[[#This Row],[xs:returned]]="",fate_of_animals[[#This Row],[xs:rehomed]]="")),fill_all_cells_mssg,"")</f>
        <v/>
      </c>
    </row>
    <row r="11" spans="1:6" x14ac:dyDescent="0.25">
      <c r="A11" s="8"/>
      <c r="B11" s="1"/>
      <c r="C11" s="1"/>
      <c r="D11" s="1"/>
      <c r="E11" s="26" t="str">
        <f>IF(AND(fate_of_animals[[#This Row],[xs:species]]&lt;&gt;"",SUM(fate_of_animals[[#This Row],[xs:reused]:[xs:rehomed]])=0),total_number_mssg,IF(AND(fate_of_animals[[#This Row],[xs:species]]="",SUM(fate_of_animals[[#This Row],[xs:reused]:[xs:rehomed]])&gt;0),select_species_mssg,""))</f>
        <v/>
      </c>
      <c r="F11" s="26" t="str">
        <f>IF(AND(fate_of_animals[[#This Row],[xs:species]]&lt;&gt;"",OR(fate_of_animals[[#This Row],[xs:reused]]="",fate_of_animals[[#This Row],[xs:returned]]="",fate_of_animals[[#This Row],[xs:rehomed]]="")),fill_all_cells_mssg,"")</f>
        <v/>
      </c>
    </row>
    <row r="12" spans="1:6" x14ac:dyDescent="0.25">
      <c r="A12" s="8"/>
      <c r="B12" s="1"/>
      <c r="C12" s="1"/>
      <c r="D12" s="1"/>
      <c r="E12" s="26" t="str">
        <f>IF(AND(fate_of_animals[[#This Row],[xs:species]]&lt;&gt;"",SUM(fate_of_animals[[#This Row],[xs:reused]:[xs:rehomed]])=0),total_number_mssg,IF(AND(fate_of_animals[[#This Row],[xs:species]]="",SUM(fate_of_animals[[#This Row],[xs:reused]:[xs:rehomed]])&gt;0),select_species_mssg,""))</f>
        <v/>
      </c>
      <c r="F12" s="26" t="str">
        <f>IF(AND(fate_of_animals[[#This Row],[xs:species]]&lt;&gt;"",OR(fate_of_animals[[#This Row],[xs:reused]]="",fate_of_animals[[#This Row],[xs:returned]]="",fate_of_animals[[#This Row],[xs:rehomed]]="")),fill_all_cells_mssg,"")</f>
        <v/>
      </c>
    </row>
    <row r="13" spans="1:6" x14ac:dyDescent="0.25">
      <c r="A13" s="8"/>
      <c r="B13" s="1"/>
      <c r="C13" s="1"/>
      <c r="D13" s="1"/>
      <c r="E13" s="26" t="str">
        <f>IF(AND(fate_of_animals[[#This Row],[xs:species]]&lt;&gt;"",SUM(fate_of_animals[[#This Row],[xs:reused]:[xs:rehomed]])=0),total_number_mssg,IF(AND(fate_of_animals[[#This Row],[xs:species]]="",SUM(fate_of_animals[[#This Row],[xs:reused]:[xs:rehomed]])&gt;0),select_species_mssg,""))</f>
        <v/>
      </c>
      <c r="F13" s="26" t="str">
        <f>IF(AND(fate_of_animals[[#This Row],[xs:species]]&lt;&gt;"",OR(fate_of_animals[[#This Row],[xs:reused]]="",fate_of_animals[[#This Row],[xs:returned]]="",fate_of_animals[[#This Row],[xs:rehomed]]="")),fill_all_cells_mssg,"")</f>
        <v/>
      </c>
    </row>
    <row r="14" spans="1:6" x14ac:dyDescent="0.25">
      <c r="A14" s="8"/>
      <c r="B14" s="1"/>
      <c r="C14" s="1"/>
      <c r="D14" s="1"/>
      <c r="E14" s="26" t="str">
        <f>IF(AND(fate_of_animals[[#This Row],[xs:species]]&lt;&gt;"",SUM(fate_of_animals[[#This Row],[xs:reused]:[xs:rehomed]])=0),total_number_mssg,IF(AND(fate_of_animals[[#This Row],[xs:species]]="",SUM(fate_of_animals[[#This Row],[xs:reused]:[xs:rehomed]])&gt;0),select_species_mssg,""))</f>
        <v/>
      </c>
      <c r="F14" s="26" t="str">
        <f>IF(AND(fate_of_animals[[#This Row],[xs:species]]&lt;&gt;"",OR(fate_of_animals[[#This Row],[xs:reused]]="",fate_of_animals[[#This Row],[xs:returned]]="",fate_of_animals[[#This Row],[xs:rehomed]]="")),fill_all_cells_mssg,"")</f>
        <v/>
      </c>
    </row>
    <row r="15" spans="1:6" x14ac:dyDescent="0.25">
      <c r="A15" s="8"/>
      <c r="B15" s="1"/>
      <c r="C15" s="1"/>
      <c r="D15" s="1"/>
      <c r="E15" s="26" t="str">
        <f>IF(AND(fate_of_animals[[#This Row],[xs:species]]&lt;&gt;"",SUM(fate_of_animals[[#This Row],[xs:reused]:[xs:rehomed]])=0),total_number_mssg,IF(AND(fate_of_animals[[#This Row],[xs:species]]="",SUM(fate_of_animals[[#This Row],[xs:reused]:[xs:rehomed]])&gt;0),select_species_mssg,""))</f>
        <v/>
      </c>
      <c r="F15" s="26" t="str">
        <f>IF(AND(fate_of_animals[[#This Row],[xs:species]]&lt;&gt;"",OR(fate_of_animals[[#This Row],[xs:reused]]="",fate_of_animals[[#This Row],[xs:returned]]="",fate_of_animals[[#This Row],[xs:rehomed]]="")),fill_all_cells_mssg,"")</f>
        <v/>
      </c>
    </row>
    <row r="16" spans="1:6" x14ac:dyDescent="0.25">
      <c r="A16" s="8"/>
      <c r="B16" s="1"/>
      <c r="C16" s="1"/>
      <c r="D16" s="1"/>
      <c r="E16" s="26" t="str">
        <f>IF(AND(fate_of_animals[[#This Row],[xs:species]]&lt;&gt;"",SUM(fate_of_animals[[#This Row],[xs:reused]:[xs:rehomed]])=0),total_number_mssg,IF(AND(fate_of_animals[[#This Row],[xs:species]]="",SUM(fate_of_animals[[#This Row],[xs:reused]:[xs:rehomed]])&gt;0),select_species_mssg,""))</f>
        <v/>
      </c>
      <c r="F16" s="26" t="str">
        <f>IF(AND(fate_of_animals[[#This Row],[xs:species]]&lt;&gt;"",OR(fate_of_animals[[#This Row],[xs:reused]]="",fate_of_animals[[#This Row],[xs:returned]]="",fate_of_animals[[#This Row],[xs:rehomed]]="")),fill_all_cells_mssg,"")</f>
        <v/>
      </c>
    </row>
    <row r="17" spans="1:6" x14ac:dyDescent="0.25">
      <c r="A17" s="8"/>
      <c r="B17" s="1"/>
      <c r="C17" s="1"/>
      <c r="D17" s="1"/>
      <c r="E17" s="26" t="str">
        <f>IF(AND(fate_of_animals[[#This Row],[xs:species]]&lt;&gt;"",SUM(fate_of_animals[[#This Row],[xs:reused]:[xs:rehomed]])=0),total_number_mssg,IF(AND(fate_of_animals[[#This Row],[xs:species]]="",SUM(fate_of_animals[[#This Row],[xs:reused]:[xs:rehomed]])&gt;0),select_species_mssg,""))</f>
        <v/>
      </c>
      <c r="F17" s="26" t="str">
        <f>IF(AND(fate_of_animals[[#This Row],[xs:species]]&lt;&gt;"",OR(fate_of_animals[[#This Row],[xs:reused]]="",fate_of_animals[[#This Row],[xs:returned]]="",fate_of_animals[[#This Row],[xs:rehomed]]="")),fill_all_cells_mssg,"")</f>
        <v/>
      </c>
    </row>
    <row r="18" spans="1:6" x14ac:dyDescent="0.25">
      <c r="A18" s="8"/>
      <c r="B18" s="1"/>
      <c r="C18" s="1"/>
      <c r="D18" s="1"/>
      <c r="E18" s="26" t="str">
        <f>IF(AND(fate_of_animals[[#This Row],[xs:species]]&lt;&gt;"",SUM(fate_of_animals[[#This Row],[xs:reused]:[xs:rehomed]])=0),total_number_mssg,IF(AND(fate_of_animals[[#This Row],[xs:species]]="",SUM(fate_of_animals[[#This Row],[xs:reused]:[xs:rehomed]])&gt;0),select_species_mssg,""))</f>
        <v/>
      </c>
      <c r="F18" s="26" t="str">
        <f>IF(AND(fate_of_animals[[#This Row],[xs:species]]&lt;&gt;"",OR(fate_of_animals[[#This Row],[xs:reused]]="",fate_of_animals[[#This Row],[xs:returned]]="",fate_of_animals[[#This Row],[xs:rehomed]]="")),fill_all_cells_mssg,"")</f>
        <v/>
      </c>
    </row>
    <row r="19" spans="1:6" x14ac:dyDescent="0.25">
      <c r="A19" s="8"/>
      <c r="B19" s="1"/>
      <c r="C19" s="1"/>
      <c r="D19" s="1"/>
      <c r="E19" s="26" t="str">
        <f>IF(AND(fate_of_animals[[#This Row],[xs:species]]&lt;&gt;"",SUM(fate_of_animals[[#This Row],[xs:reused]:[xs:rehomed]])=0),total_number_mssg,IF(AND(fate_of_animals[[#This Row],[xs:species]]="",SUM(fate_of_animals[[#This Row],[xs:reused]:[xs:rehomed]])&gt;0),select_species_mssg,""))</f>
        <v/>
      </c>
      <c r="F19" s="26" t="str">
        <f>IF(AND(fate_of_animals[[#This Row],[xs:species]]&lt;&gt;"",OR(fate_of_animals[[#This Row],[xs:reused]]="",fate_of_animals[[#This Row],[xs:returned]]="",fate_of_animals[[#This Row],[xs:rehomed]]="")),fill_all_cells_mssg,"")</f>
        <v/>
      </c>
    </row>
    <row r="20" spans="1:6" x14ac:dyDescent="0.25">
      <c r="A20" s="8"/>
      <c r="B20" s="1"/>
      <c r="C20" s="1"/>
      <c r="D20" s="1"/>
      <c r="E20" s="26" t="str">
        <f>IF(AND(fate_of_animals[[#This Row],[xs:species]]&lt;&gt;"",SUM(fate_of_animals[[#This Row],[xs:reused]:[xs:rehomed]])=0),total_number_mssg,IF(AND(fate_of_animals[[#This Row],[xs:species]]="",SUM(fate_of_animals[[#This Row],[xs:reused]:[xs:rehomed]])&gt;0),select_species_mssg,""))</f>
        <v/>
      </c>
      <c r="F20" s="26" t="str">
        <f>IF(AND(fate_of_animals[[#This Row],[xs:species]]&lt;&gt;"",OR(fate_of_animals[[#This Row],[xs:reused]]="",fate_of_animals[[#This Row],[xs:returned]]="",fate_of_animals[[#This Row],[xs:rehomed]]="")),fill_all_cells_mssg,"")</f>
        <v/>
      </c>
    </row>
    <row r="21" spans="1:6" x14ac:dyDescent="0.25">
      <c r="A21" s="8"/>
      <c r="B21" s="1"/>
      <c r="C21" s="1"/>
      <c r="D21" s="1"/>
      <c r="E21" s="26" t="str">
        <f>IF(AND(fate_of_animals[[#This Row],[xs:species]]&lt;&gt;"",SUM(fate_of_animals[[#This Row],[xs:reused]:[xs:rehomed]])=0),total_number_mssg,IF(AND(fate_of_animals[[#This Row],[xs:species]]="",SUM(fate_of_animals[[#This Row],[xs:reused]:[xs:rehomed]])&gt;0),select_species_mssg,""))</f>
        <v/>
      </c>
      <c r="F21" s="26" t="str">
        <f>IF(AND(fate_of_animals[[#This Row],[xs:species]]&lt;&gt;"",OR(fate_of_animals[[#This Row],[xs:reused]]="",fate_of_animals[[#This Row],[xs:returned]]="",fate_of_animals[[#This Row],[xs:rehomed]]="")),fill_all_cells_mssg,"")</f>
        <v/>
      </c>
    </row>
    <row r="22" spans="1:6" x14ac:dyDescent="0.25">
      <c r="A22" s="8"/>
      <c r="B22" s="1"/>
      <c r="C22" s="1"/>
      <c r="D22" s="1"/>
      <c r="E22" s="26" t="str">
        <f>IF(AND(fate_of_animals[[#This Row],[xs:species]]&lt;&gt;"",SUM(fate_of_animals[[#This Row],[xs:reused]:[xs:rehomed]])=0),total_number_mssg,IF(AND(fate_of_animals[[#This Row],[xs:species]]="",SUM(fate_of_animals[[#This Row],[xs:reused]:[xs:rehomed]])&gt;0),select_species_mssg,""))</f>
        <v/>
      </c>
      <c r="F22" s="26" t="str">
        <f>IF(AND(fate_of_animals[[#This Row],[xs:species]]&lt;&gt;"",OR(fate_of_animals[[#This Row],[xs:reused]]="",fate_of_animals[[#This Row],[xs:returned]]="",fate_of_animals[[#This Row],[xs:rehomed]]="")),fill_all_cells_mssg,"")</f>
        <v/>
      </c>
    </row>
    <row r="23" spans="1:6" x14ac:dyDescent="0.25">
      <c r="A23" s="8"/>
      <c r="B23" s="1"/>
      <c r="C23" s="1"/>
      <c r="D23" s="1"/>
      <c r="E23" s="26" t="str">
        <f>IF(AND(fate_of_animals[[#This Row],[xs:species]]&lt;&gt;"",SUM(fate_of_animals[[#This Row],[xs:reused]:[xs:rehomed]])=0),total_number_mssg,IF(AND(fate_of_animals[[#This Row],[xs:species]]="",SUM(fate_of_animals[[#This Row],[xs:reused]:[xs:rehomed]])&gt;0),select_species_mssg,""))</f>
        <v/>
      </c>
      <c r="F23" s="26" t="str">
        <f>IF(AND(fate_of_animals[[#This Row],[xs:species]]&lt;&gt;"",OR(fate_of_animals[[#This Row],[xs:reused]]="",fate_of_animals[[#This Row],[xs:returned]]="",fate_of_animals[[#This Row],[xs:rehomed]]="")),fill_all_cells_mssg,"")</f>
        <v/>
      </c>
    </row>
    <row r="24" spans="1:6" x14ac:dyDescent="0.25">
      <c r="A24" s="8"/>
      <c r="B24" s="1"/>
      <c r="C24" s="1"/>
      <c r="D24" s="1"/>
      <c r="E24" s="26" t="str">
        <f>IF(AND(fate_of_animals[[#This Row],[xs:species]]&lt;&gt;"",SUM(fate_of_animals[[#This Row],[xs:reused]:[xs:rehomed]])=0),total_number_mssg,IF(AND(fate_of_animals[[#This Row],[xs:species]]="",SUM(fate_of_animals[[#This Row],[xs:reused]:[xs:rehomed]])&gt;0),select_species_mssg,""))</f>
        <v/>
      </c>
      <c r="F24" s="26" t="str">
        <f>IF(AND(fate_of_animals[[#This Row],[xs:species]]&lt;&gt;"",OR(fate_of_animals[[#This Row],[xs:reused]]="",fate_of_animals[[#This Row],[xs:returned]]="",fate_of_animals[[#This Row],[xs:rehomed]]="")),fill_all_cells_mssg,"")</f>
        <v/>
      </c>
    </row>
    <row r="25" spans="1:6" x14ac:dyDescent="0.25">
      <c r="A25" s="8"/>
      <c r="B25" s="1"/>
      <c r="C25" s="1"/>
      <c r="D25" s="1"/>
      <c r="E25" s="26" t="str">
        <f>IF(AND(fate_of_animals[[#This Row],[xs:species]]&lt;&gt;"",SUM(fate_of_animals[[#This Row],[xs:reused]:[xs:rehomed]])=0),total_number_mssg,IF(AND(fate_of_animals[[#This Row],[xs:species]]="",SUM(fate_of_animals[[#This Row],[xs:reused]:[xs:rehomed]])&gt;0),select_species_mssg,""))</f>
        <v/>
      </c>
      <c r="F25" s="26" t="str">
        <f>IF(AND(fate_of_animals[[#This Row],[xs:species]]&lt;&gt;"",OR(fate_of_animals[[#This Row],[xs:reused]]="",fate_of_animals[[#This Row],[xs:returned]]="",fate_of_animals[[#This Row],[xs:rehomed]]="")),fill_all_cells_mssg,"")</f>
        <v/>
      </c>
    </row>
    <row r="26" spans="1:6" x14ac:dyDescent="0.25">
      <c r="A26" s="8"/>
      <c r="B26" s="1"/>
      <c r="C26" s="1"/>
      <c r="D26" s="1"/>
      <c r="E26" s="26" t="str">
        <f>IF(AND(fate_of_animals[[#This Row],[xs:species]]&lt;&gt;"",SUM(fate_of_animals[[#This Row],[xs:reused]:[xs:rehomed]])=0),total_number_mssg,IF(AND(fate_of_animals[[#This Row],[xs:species]]="",SUM(fate_of_animals[[#This Row],[xs:reused]:[xs:rehomed]])&gt;0),select_species_mssg,""))</f>
        <v/>
      </c>
      <c r="F26" s="26" t="str">
        <f>IF(AND(fate_of_animals[[#This Row],[xs:species]]&lt;&gt;"",OR(fate_of_animals[[#This Row],[xs:reused]]="",fate_of_animals[[#This Row],[xs:returned]]="",fate_of_animals[[#This Row],[xs:rehomed]]="")),fill_all_cells_mssg,"")</f>
        <v/>
      </c>
    </row>
    <row r="27" spans="1:6" x14ac:dyDescent="0.25">
      <c r="A27" s="8"/>
      <c r="B27" s="1"/>
      <c r="C27" s="1"/>
      <c r="D27" s="1"/>
      <c r="E27" s="26" t="str">
        <f>IF(AND(fate_of_animals[[#This Row],[xs:species]]&lt;&gt;"",SUM(fate_of_animals[[#This Row],[xs:reused]:[xs:rehomed]])=0),total_number_mssg,IF(AND(fate_of_animals[[#This Row],[xs:species]]="",SUM(fate_of_animals[[#This Row],[xs:reused]:[xs:rehomed]])&gt;0),select_species_mssg,""))</f>
        <v/>
      </c>
      <c r="F27" s="26" t="str">
        <f>IF(AND(fate_of_animals[[#This Row],[xs:species]]&lt;&gt;"",OR(fate_of_animals[[#This Row],[xs:reused]]="",fate_of_animals[[#This Row],[xs:returned]]="",fate_of_animals[[#This Row],[xs:rehomed]]="")),fill_all_cells_mssg,"")</f>
        <v/>
      </c>
    </row>
    <row r="28" spans="1:6" x14ac:dyDescent="0.25">
      <c r="A28" s="8"/>
      <c r="B28" s="1"/>
      <c r="C28" s="1"/>
      <c r="D28" s="1"/>
      <c r="E28" s="26" t="str">
        <f>IF(AND(fate_of_animals[[#This Row],[xs:species]]&lt;&gt;"",SUM(fate_of_animals[[#This Row],[xs:reused]:[xs:rehomed]])=0),total_number_mssg,IF(AND(fate_of_animals[[#This Row],[xs:species]]="",SUM(fate_of_animals[[#This Row],[xs:reused]:[xs:rehomed]])&gt;0),select_species_mssg,""))</f>
        <v/>
      </c>
      <c r="F28" s="26" t="str">
        <f>IF(AND(fate_of_animals[[#This Row],[xs:species]]&lt;&gt;"",OR(fate_of_animals[[#This Row],[xs:reused]]="",fate_of_animals[[#This Row],[xs:returned]]="",fate_of_animals[[#This Row],[xs:rehomed]]="")),fill_all_cells_mssg,"")</f>
        <v/>
      </c>
    </row>
    <row r="29" spans="1:6" x14ac:dyDescent="0.25">
      <c r="A29" s="8"/>
      <c r="B29" s="1"/>
      <c r="C29" s="1"/>
      <c r="D29" s="1"/>
      <c r="E29" s="26" t="str">
        <f>IF(AND(fate_of_animals[[#This Row],[xs:species]]&lt;&gt;"",SUM(fate_of_animals[[#This Row],[xs:reused]:[xs:rehomed]])=0),total_number_mssg,IF(AND(fate_of_animals[[#This Row],[xs:species]]="",SUM(fate_of_animals[[#This Row],[xs:reused]:[xs:rehomed]])&gt;0),select_species_mssg,""))</f>
        <v/>
      </c>
      <c r="F29" s="26" t="str">
        <f>IF(AND(fate_of_animals[[#This Row],[xs:species]]&lt;&gt;"",OR(fate_of_animals[[#This Row],[xs:reused]]="",fate_of_animals[[#This Row],[xs:returned]]="",fate_of_animals[[#This Row],[xs:rehomed]]="")),fill_all_cells_mssg,"")</f>
        <v/>
      </c>
    </row>
    <row r="30" spans="1:6" x14ac:dyDescent="0.25">
      <c r="A30" s="8"/>
      <c r="B30" s="1"/>
      <c r="C30" s="1"/>
      <c r="D30" s="1"/>
      <c r="E30" s="26" t="str">
        <f>IF(AND(fate_of_animals[[#This Row],[xs:species]]&lt;&gt;"",SUM(fate_of_animals[[#This Row],[xs:reused]:[xs:rehomed]])=0),total_number_mssg,IF(AND(fate_of_animals[[#This Row],[xs:species]]="",SUM(fate_of_animals[[#This Row],[xs:reused]:[xs:rehomed]])&gt;0),select_species_mssg,""))</f>
        <v/>
      </c>
      <c r="F30" s="26" t="str">
        <f>IF(AND(fate_of_animals[[#This Row],[xs:species]]&lt;&gt;"",OR(fate_of_animals[[#This Row],[xs:reused]]="",fate_of_animals[[#This Row],[xs:returned]]="",fate_of_animals[[#This Row],[xs:rehomed]]="")),fill_all_cells_mssg,"")</f>
        <v/>
      </c>
    </row>
    <row r="31" spans="1:6" x14ac:dyDescent="0.25">
      <c r="A31" s="8"/>
      <c r="B31" s="1"/>
      <c r="C31" s="1"/>
      <c r="D31" s="1"/>
      <c r="E31" s="26" t="str">
        <f>IF(AND(fate_of_animals[[#This Row],[xs:species]]&lt;&gt;"",SUM(fate_of_animals[[#This Row],[xs:reused]:[xs:rehomed]])=0),total_number_mssg,IF(AND(fate_of_animals[[#This Row],[xs:species]]="",SUM(fate_of_animals[[#This Row],[xs:reused]:[xs:rehomed]])&gt;0),select_species_mssg,""))</f>
        <v/>
      </c>
      <c r="F31" s="26" t="str">
        <f>IF(AND(fate_of_animals[[#This Row],[xs:species]]&lt;&gt;"",OR(fate_of_animals[[#This Row],[xs:reused]]="",fate_of_animals[[#This Row],[xs:returned]]="",fate_of_animals[[#This Row],[xs:rehomed]]="")),fill_all_cells_mssg,"")</f>
        <v/>
      </c>
    </row>
    <row r="32" spans="1:6" x14ac:dyDescent="0.25">
      <c r="A32" s="8"/>
      <c r="B32" s="1"/>
      <c r="C32" s="1"/>
      <c r="D32" s="1"/>
      <c r="E32" s="26" t="str">
        <f>IF(AND(fate_of_animals[[#This Row],[xs:species]]&lt;&gt;"",SUM(fate_of_animals[[#This Row],[xs:reused]:[xs:rehomed]])=0),total_number_mssg,IF(AND(fate_of_animals[[#This Row],[xs:species]]="",SUM(fate_of_animals[[#This Row],[xs:reused]:[xs:rehomed]])&gt;0),select_species_mssg,""))</f>
        <v/>
      </c>
      <c r="F32" s="26" t="str">
        <f>IF(AND(fate_of_animals[[#This Row],[xs:species]]&lt;&gt;"",OR(fate_of_animals[[#This Row],[xs:reused]]="",fate_of_animals[[#This Row],[xs:returned]]="",fate_of_animals[[#This Row],[xs:rehomed]]="")),fill_all_cells_mssg,"")</f>
        <v/>
      </c>
    </row>
    <row r="33" spans="1:6" x14ac:dyDescent="0.25">
      <c r="A33" s="8"/>
      <c r="B33" s="1"/>
      <c r="C33" s="1"/>
      <c r="D33" s="1"/>
      <c r="E33" s="26" t="str">
        <f>IF(AND(fate_of_animals[[#This Row],[xs:species]]&lt;&gt;"",SUM(fate_of_animals[[#This Row],[xs:reused]:[xs:rehomed]])=0),total_number_mssg,IF(AND(fate_of_animals[[#This Row],[xs:species]]="",SUM(fate_of_animals[[#This Row],[xs:reused]:[xs:rehomed]])&gt;0),select_species_mssg,""))</f>
        <v/>
      </c>
      <c r="F33" s="26" t="str">
        <f>IF(AND(fate_of_animals[[#This Row],[xs:species]]&lt;&gt;"",OR(fate_of_animals[[#This Row],[xs:reused]]="",fate_of_animals[[#This Row],[xs:returned]]="",fate_of_animals[[#This Row],[xs:rehomed]]="")),fill_all_cells_mssg,"")</f>
        <v/>
      </c>
    </row>
    <row r="34" spans="1:6" x14ac:dyDescent="0.25">
      <c r="A34" s="8"/>
      <c r="B34" s="1"/>
      <c r="C34" s="1"/>
      <c r="D34" s="1"/>
      <c r="E34" s="26" t="str">
        <f>IF(AND(fate_of_animals[[#This Row],[xs:species]]&lt;&gt;"",SUM(fate_of_animals[[#This Row],[xs:reused]:[xs:rehomed]])=0),total_number_mssg,IF(AND(fate_of_animals[[#This Row],[xs:species]]="",SUM(fate_of_animals[[#This Row],[xs:reused]:[xs:rehomed]])&gt;0),select_species_mssg,""))</f>
        <v/>
      </c>
      <c r="F34" s="26" t="str">
        <f>IF(AND(fate_of_animals[[#This Row],[xs:species]]&lt;&gt;"",OR(fate_of_animals[[#This Row],[xs:reused]]="",fate_of_animals[[#This Row],[xs:returned]]="",fate_of_animals[[#This Row],[xs:rehomed]]="")),fill_all_cells_mssg,"")</f>
        <v/>
      </c>
    </row>
    <row r="35" spans="1:6" x14ac:dyDescent="0.25">
      <c r="A35" s="8"/>
      <c r="B35" s="1"/>
      <c r="C35" s="1"/>
      <c r="D35" s="1"/>
      <c r="E35" s="26" t="str">
        <f>IF(AND(fate_of_animals[[#This Row],[xs:species]]&lt;&gt;"",SUM(fate_of_animals[[#This Row],[xs:reused]:[xs:rehomed]])=0),total_number_mssg,IF(AND(fate_of_animals[[#This Row],[xs:species]]="",SUM(fate_of_animals[[#This Row],[xs:reused]:[xs:rehomed]])&gt;0),select_species_mssg,""))</f>
        <v/>
      </c>
      <c r="F35" s="26" t="str">
        <f>IF(AND(fate_of_animals[[#This Row],[xs:species]]&lt;&gt;"",OR(fate_of_animals[[#This Row],[xs:reused]]="",fate_of_animals[[#This Row],[xs:returned]]="",fate_of_animals[[#This Row],[xs:rehomed]]="")),fill_all_cells_mssg,"")</f>
        <v/>
      </c>
    </row>
    <row r="36" spans="1:6" x14ac:dyDescent="0.25">
      <c r="A36" s="8"/>
      <c r="B36" s="1"/>
      <c r="C36" s="1"/>
      <c r="D36" s="1"/>
      <c r="E36" s="26" t="str">
        <f>IF(AND(fate_of_animals[[#This Row],[xs:species]]&lt;&gt;"",SUM(fate_of_animals[[#This Row],[xs:reused]:[xs:rehomed]])=0),total_number_mssg,IF(AND(fate_of_animals[[#This Row],[xs:species]]="",SUM(fate_of_animals[[#This Row],[xs:reused]:[xs:rehomed]])&gt;0),select_species_mssg,""))</f>
        <v/>
      </c>
      <c r="F36" s="26" t="str">
        <f>IF(AND(fate_of_animals[[#This Row],[xs:species]]&lt;&gt;"",OR(fate_of_animals[[#This Row],[xs:reused]]="",fate_of_animals[[#This Row],[xs:returned]]="",fate_of_animals[[#This Row],[xs:rehomed]]="")),fill_all_cells_mssg,"")</f>
        <v/>
      </c>
    </row>
    <row r="37" spans="1:6" x14ac:dyDescent="0.25">
      <c r="A37" s="8"/>
      <c r="B37" s="1"/>
      <c r="C37" s="1"/>
      <c r="D37" s="1"/>
      <c r="E37" s="26" t="str">
        <f>IF(AND(fate_of_animals[[#This Row],[xs:species]]&lt;&gt;"",SUM(fate_of_animals[[#This Row],[xs:reused]:[xs:rehomed]])=0),total_number_mssg,IF(AND(fate_of_animals[[#This Row],[xs:species]]="",SUM(fate_of_animals[[#This Row],[xs:reused]:[xs:rehomed]])&gt;0),select_species_mssg,""))</f>
        <v/>
      </c>
      <c r="F37" s="26" t="str">
        <f>IF(AND(fate_of_animals[[#This Row],[xs:species]]&lt;&gt;"",OR(fate_of_animals[[#This Row],[xs:reused]]="",fate_of_animals[[#This Row],[xs:returned]]="",fate_of_animals[[#This Row],[xs:rehomed]]="")),fill_all_cells_mssg,"")</f>
        <v/>
      </c>
    </row>
    <row r="38" spans="1:6" x14ac:dyDescent="0.25">
      <c r="A38" s="8"/>
      <c r="B38" s="1"/>
      <c r="C38" s="1"/>
      <c r="D38" s="1"/>
      <c r="E38" s="26" t="str">
        <f>IF(AND(fate_of_animals[[#This Row],[xs:species]]&lt;&gt;"",SUM(fate_of_animals[[#This Row],[xs:reused]:[xs:rehomed]])=0),total_number_mssg,IF(AND(fate_of_animals[[#This Row],[xs:species]]="",SUM(fate_of_animals[[#This Row],[xs:reused]:[xs:rehomed]])&gt;0),select_species_mssg,""))</f>
        <v/>
      </c>
      <c r="F38" s="26" t="str">
        <f>IF(AND(fate_of_animals[[#This Row],[xs:species]]&lt;&gt;"",OR(fate_of_animals[[#This Row],[xs:reused]]="",fate_of_animals[[#This Row],[xs:returned]]="",fate_of_animals[[#This Row],[xs:rehomed]]="")),fill_all_cells_mssg,"")</f>
        <v/>
      </c>
    </row>
    <row r="39" spans="1:6" x14ac:dyDescent="0.25">
      <c r="A39" s="8"/>
      <c r="B39" s="1"/>
      <c r="C39" s="1"/>
      <c r="D39" s="1"/>
      <c r="E39" s="26" t="str">
        <f>IF(AND(fate_of_animals[[#This Row],[xs:species]]&lt;&gt;"",SUM(fate_of_animals[[#This Row],[xs:reused]:[xs:rehomed]])=0),total_number_mssg,IF(AND(fate_of_animals[[#This Row],[xs:species]]="",SUM(fate_of_animals[[#This Row],[xs:reused]:[xs:rehomed]])&gt;0),select_species_mssg,""))</f>
        <v/>
      </c>
      <c r="F39" s="26" t="str">
        <f>IF(AND(fate_of_animals[[#This Row],[xs:species]]&lt;&gt;"",OR(fate_of_animals[[#This Row],[xs:reused]]="",fate_of_animals[[#This Row],[xs:returned]]="",fate_of_animals[[#This Row],[xs:rehomed]]="")),fill_all_cells_mssg,"")</f>
        <v/>
      </c>
    </row>
    <row r="40" spans="1:6" x14ac:dyDescent="0.25">
      <c r="A40" s="8"/>
      <c r="B40" s="1"/>
      <c r="C40" s="1"/>
      <c r="D40" s="1"/>
      <c r="E40" s="26" t="str">
        <f>IF(AND(fate_of_animals[[#This Row],[xs:species]]&lt;&gt;"",SUM(fate_of_animals[[#This Row],[xs:reused]:[xs:rehomed]])=0),total_number_mssg,IF(AND(fate_of_animals[[#This Row],[xs:species]]="",SUM(fate_of_animals[[#This Row],[xs:reused]:[xs:rehomed]])&gt;0),select_species_mssg,""))</f>
        <v/>
      </c>
      <c r="F40" s="26" t="str">
        <f>IF(AND(fate_of_animals[[#This Row],[xs:species]]&lt;&gt;"",OR(fate_of_animals[[#This Row],[xs:reused]]="",fate_of_animals[[#This Row],[xs:returned]]="",fate_of_animals[[#This Row],[xs:rehomed]]="")),fill_all_cells_mssg,"")</f>
        <v/>
      </c>
    </row>
    <row r="41" spans="1:6" x14ac:dyDescent="0.25">
      <c r="A41" s="8"/>
      <c r="B41" s="1"/>
      <c r="C41" s="1"/>
      <c r="D41" s="1"/>
      <c r="E41" s="26" t="str">
        <f>IF(AND(fate_of_animals[[#This Row],[xs:species]]&lt;&gt;"",SUM(fate_of_animals[[#This Row],[xs:reused]:[xs:rehomed]])=0),total_number_mssg,IF(AND(fate_of_animals[[#This Row],[xs:species]]="",SUM(fate_of_animals[[#This Row],[xs:reused]:[xs:rehomed]])&gt;0),select_species_mssg,""))</f>
        <v/>
      </c>
      <c r="F41" s="26" t="str">
        <f>IF(AND(fate_of_animals[[#This Row],[xs:species]]&lt;&gt;"",OR(fate_of_animals[[#This Row],[xs:reused]]="",fate_of_animals[[#This Row],[xs:returned]]="",fate_of_animals[[#This Row],[xs:rehomed]]="")),fill_all_cells_mssg,"")</f>
        <v/>
      </c>
    </row>
    <row r="42" spans="1:6" x14ac:dyDescent="0.25">
      <c r="A42" s="8"/>
      <c r="B42" s="1"/>
      <c r="C42" s="1"/>
      <c r="D42" s="1"/>
      <c r="E42" s="26" t="str">
        <f>IF(AND(fate_of_animals[[#This Row],[xs:species]]&lt;&gt;"",SUM(fate_of_animals[[#This Row],[xs:reused]:[xs:rehomed]])=0),total_number_mssg,IF(AND(fate_of_animals[[#This Row],[xs:species]]="",SUM(fate_of_animals[[#This Row],[xs:reused]:[xs:rehomed]])&gt;0),select_species_mssg,""))</f>
        <v/>
      </c>
      <c r="F42" s="26" t="str">
        <f>IF(AND(fate_of_animals[[#This Row],[xs:species]]&lt;&gt;"",OR(fate_of_animals[[#This Row],[xs:reused]]="",fate_of_animals[[#This Row],[xs:returned]]="",fate_of_animals[[#This Row],[xs:rehomed]]="")),fill_all_cells_mssg,"")</f>
        <v/>
      </c>
    </row>
  </sheetData>
  <sheetProtection password="CC4A" sheet="1" selectLockedCells="1"/>
  <mergeCells count="1">
    <mergeCell ref="B1:D1"/>
  </mergeCells>
  <conditionalFormatting sqref="A4:A42">
    <cfRule type="duplicateValues" dxfId="1" priority="3"/>
  </conditionalFormatting>
  <conditionalFormatting sqref="E4:F42">
    <cfRule type="notContainsBlanks" dxfId="0" priority="1">
      <formula>LEN(TRIM(E4))&gt;0</formula>
    </cfRule>
  </conditionalFormatting>
  <dataValidations count="3">
    <dataValidation type="list" allowBlank="1" showInputMessage="1" showErrorMessage="1" sqref="A4:A42" xr:uid="{00000000-0002-0000-0300-000000000000}">
      <formula1>speciesShown</formula1>
    </dataValidation>
    <dataValidation type="whole" operator="greaterThanOrEqual" allowBlank="1" showInputMessage="1" showErrorMessage="1" sqref="B4:D42" xr:uid="{00000000-0002-0000-0300-000001000000}">
      <formula1>0</formula1>
    </dataValidation>
    <dataValidation allowBlank="1" showInputMessage="1" promptTitle="Legend" prompt="M: Mandatory_x000a_NA: Not applicable" sqref="E1" xr:uid="{00000000-0002-0000-0300-000002000000}"/>
  </dataValidations>
  <pageMargins left="0.7" right="0.7" top="0.75" bottom="0.75" header="0.3" footer="0.3"/>
  <pageSetup paperSize="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C225"/>
  <sheetViews>
    <sheetView topLeftCell="A110" workbookViewId="0">
      <selection activeCell="G132" sqref="G132"/>
    </sheetView>
  </sheetViews>
  <sheetFormatPr baseColWidth="10" defaultColWidth="9" defaultRowHeight="15" x14ac:dyDescent="0.25"/>
  <cols>
    <col min="1" max="1" width="26.28515625" style="9" customWidth="1"/>
    <col min="2" max="2" width="26.7109375" style="9" customWidth="1"/>
    <col min="3" max="3" width="98.42578125" style="9" customWidth="1"/>
    <col min="4" max="4" width="9.28515625" style="9" hidden="1" customWidth="1"/>
    <col min="5" max="5" width="8.7109375" style="9" hidden="1" customWidth="1"/>
    <col min="6" max="6" width="8.5703125" style="9" hidden="1" customWidth="1"/>
    <col min="7" max="7" width="103" style="9" customWidth="1"/>
    <col min="8" max="10" width="0" style="9" hidden="1" customWidth="1"/>
    <col min="11" max="11" width="15" style="9" hidden="1" customWidth="1"/>
    <col min="12" max="28" width="0" style="9" hidden="1" customWidth="1"/>
    <col min="29" max="16384" width="9" style="9"/>
  </cols>
  <sheetData>
    <row r="1" spans="1:28" ht="15.75" thickBot="1" x14ac:dyDescent="0.3"/>
    <row r="2" spans="1:28" s="42" customFormat="1" ht="15.75" thickBot="1" x14ac:dyDescent="0.3">
      <c r="A2" s="41" t="s">
        <v>497</v>
      </c>
      <c r="D2" s="58" t="s">
        <v>16</v>
      </c>
      <c r="E2" s="46" t="s">
        <v>17</v>
      </c>
      <c r="F2" s="46" t="s">
        <v>5</v>
      </c>
      <c r="G2" s="46" t="s">
        <v>3</v>
      </c>
      <c r="H2" s="46" t="s">
        <v>18</v>
      </c>
      <c r="I2" s="46" t="s">
        <v>0</v>
      </c>
      <c r="J2" s="46" t="s">
        <v>19</v>
      </c>
      <c r="K2" s="46" t="s">
        <v>20</v>
      </c>
      <c r="L2" s="46" t="s">
        <v>21</v>
      </c>
      <c r="M2" s="46" t="s">
        <v>2</v>
      </c>
      <c r="N2" s="46" t="s">
        <v>22</v>
      </c>
      <c r="O2" s="46" t="s">
        <v>1</v>
      </c>
      <c r="P2" s="46" t="s">
        <v>23</v>
      </c>
      <c r="Q2" s="46" t="s">
        <v>24</v>
      </c>
      <c r="R2" s="46" t="s">
        <v>25</v>
      </c>
      <c r="S2" s="46" t="s">
        <v>26</v>
      </c>
      <c r="T2" s="46" t="s">
        <v>27</v>
      </c>
      <c r="U2" s="46" t="s">
        <v>28</v>
      </c>
      <c r="V2" s="46" t="s">
        <v>29</v>
      </c>
      <c r="W2" s="46" t="s">
        <v>30</v>
      </c>
      <c r="X2" s="46" t="s">
        <v>31</v>
      </c>
      <c r="Y2" s="46" t="s">
        <v>32</v>
      </c>
      <c r="Z2" s="46" t="s">
        <v>33</v>
      </c>
      <c r="AA2" s="46" t="s">
        <v>34</v>
      </c>
      <c r="AB2" s="59" t="s">
        <v>13</v>
      </c>
    </row>
    <row r="3" spans="1:28" ht="15.75" thickBot="1" x14ac:dyDescent="0.3">
      <c r="D3" s="38"/>
      <c r="E3" s="38"/>
      <c r="F3" s="38"/>
      <c r="G3" s="38"/>
      <c r="H3" s="38"/>
      <c r="I3" s="38"/>
      <c r="J3" s="38"/>
      <c r="K3" s="38"/>
      <c r="L3" s="38"/>
      <c r="M3" s="38"/>
      <c r="N3" s="38"/>
      <c r="O3" s="38"/>
      <c r="P3" s="38"/>
      <c r="Q3" s="38"/>
      <c r="R3" s="38"/>
      <c r="S3" s="38"/>
      <c r="T3" s="38"/>
      <c r="U3" s="38"/>
      <c r="V3" s="38"/>
      <c r="W3" s="38"/>
      <c r="X3" s="38"/>
      <c r="Y3" s="38"/>
      <c r="Z3" s="38"/>
      <c r="AA3" s="38"/>
      <c r="AB3" s="38"/>
    </row>
    <row r="4" spans="1:28" x14ac:dyDescent="0.25">
      <c r="A4" s="42" t="s">
        <v>407</v>
      </c>
      <c r="B4" s="42" t="s">
        <v>406</v>
      </c>
      <c r="D4" s="34" t="str">
        <f t="shared" ref="D4:AB4" si="0">languages</f>
        <v>bg</v>
      </c>
      <c r="E4" s="35" t="str">
        <f t="shared" si="0"/>
        <v>cs</v>
      </c>
      <c r="F4" s="35" t="str">
        <f t="shared" si="0"/>
        <v>da</v>
      </c>
      <c r="G4" s="35" t="str">
        <f t="shared" si="0"/>
        <v>de</v>
      </c>
      <c r="H4" s="35" t="str">
        <f t="shared" si="0"/>
        <v>el</v>
      </c>
      <c r="I4" s="35" t="str">
        <f t="shared" si="0"/>
        <v>en</v>
      </c>
      <c r="J4" s="35" t="str">
        <f t="shared" si="0"/>
        <v>es</v>
      </c>
      <c r="K4" s="35" t="str">
        <f t="shared" si="0"/>
        <v>et</v>
      </c>
      <c r="L4" s="35" t="str">
        <f t="shared" si="0"/>
        <v>fi</v>
      </c>
      <c r="M4" s="35" t="str">
        <f t="shared" si="0"/>
        <v>fr</v>
      </c>
      <c r="N4" s="35" t="str">
        <f t="shared" si="0"/>
        <v>ga</v>
      </c>
      <c r="O4" s="35" t="str">
        <f t="shared" si="0"/>
        <v>hr</v>
      </c>
      <c r="P4" s="35" t="str">
        <f t="shared" si="0"/>
        <v>hu</v>
      </c>
      <c r="Q4" s="35" t="str">
        <f t="shared" si="0"/>
        <v>it</v>
      </c>
      <c r="R4" s="35" t="str">
        <f t="shared" si="0"/>
        <v>lt</v>
      </c>
      <c r="S4" s="35" t="str">
        <f t="shared" si="0"/>
        <v>lv</v>
      </c>
      <c r="T4" s="35" t="str">
        <f t="shared" si="0"/>
        <v>mt</v>
      </c>
      <c r="U4" s="35" t="str">
        <f t="shared" si="0"/>
        <v>nl</v>
      </c>
      <c r="V4" s="35" t="str">
        <f t="shared" si="0"/>
        <v>pl</v>
      </c>
      <c r="W4" s="35" t="str">
        <f t="shared" si="0"/>
        <v>pt</v>
      </c>
      <c r="X4" s="35" t="str">
        <f t="shared" si="0"/>
        <v>ro</v>
      </c>
      <c r="Y4" s="35" t="str">
        <f t="shared" si="0"/>
        <v>sk</v>
      </c>
      <c r="Z4" s="35" t="str">
        <f t="shared" si="0"/>
        <v>sl</v>
      </c>
      <c r="AA4" s="35" t="str">
        <f t="shared" si="0"/>
        <v>sv</v>
      </c>
      <c r="AB4" s="36" t="str">
        <f t="shared" si="0"/>
        <v>no</v>
      </c>
    </row>
    <row r="5" spans="1:28" x14ac:dyDescent="0.25">
      <c r="A5" s="3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Grundlagenforschung</v>
      </c>
      <c r="D5" s="60" t="s">
        <v>565</v>
      </c>
      <c r="E5" s="61" t="s">
        <v>566</v>
      </c>
      <c r="F5" s="62" t="s">
        <v>567</v>
      </c>
      <c r="G5" s="61" t="s">
        <v>568</v>
      </c>
      <c r="H5" s="61" t="s">
        <v>569</v>
      </c>
      <c r="I5" s="38" t="s">
        <v>91</v>
      </c>
      <c r="J5" s="61" t="s">
        <v>615</v>
      </c>
      <c r="K5" s="61" t="s">
        <v>616</v>
      </c>
      <c r="L5" s="61" t="s">
        <v>617</v>
      </c>
      <c r="M5" s="61" t="s">
        <v>618</v>
      </c>
      <c r="N5" s="61"/>
      <c r="O5" s="61" t="s">
        <v>619</v>
      </c>
      <c r="P5" s="61" t="s">
        <v>620</v>
      </c>
      <c r="Q5" s="61" t="s">
        <v>621</v>
      </c>
      <c r="R5" s="61" t="s">
        <v>622</v>
      </c>
      <c r="S5" s="61" t="s">
        <v>623</v>
      </c>
      <c r="T5" s="61" t="s">
        <v>624</v>
      </c>
      <c r="U5" s="61" t="s">
        <v>625</v>
      </c>
      <c r="V5" s="62" t="s">
        <v>626</v>
      </c>
      <c r="W5" s="61" t="s">
        <v>627</v>
      </c>
      <c r="X5" s="61" t="s">
        <v>628</v>
      </c>
      <c r="Y5" s="61" t="s">
        <v>629</v>
      </c>
      <c r="Z5" s="61" t="s">
        <v>630</v>
      </c>
      <c r="AA5" s="61" t="s">
        <v>631</v>
      </c>
      <c r="AB5" s="63" t="s">
        <v>632</v>
      </c>
    </row>
    <row r="6" spans="1:28" x14ac:dyDescent="0.25">
      <c r="A6" s="38" t="s">
        <v>57</v>
      </c>
      <c r="B6" s="9" t="str">
        <f t="shared" si="1"/>
        <v>Translationale und angewandte Forschung</v>
      </c>
      <c r="D6" s="60" t="s">
        <v>570</v>
      </c>
      <c r="E6" s="61" t="s">
        <v>571</v>
      </c>
      <c r="F6" s="62" t="s">
        <v>572</v>
      </c>
      <c r="G6" s="61" t="s">
        <v>573</v>
      </c>
      <c r="H6" s="61" t="s">
        <v>574</v>
      </c>
      <c r="I6" s="38" t="s">
        <v>92</v>
      </c>
      <c r="J6" s="61" t="s">
        <v>633</v>
      </c>
      <c r="K6" s="61" t="s">
        <v>634</v>
      </c>
      <c r="L6" s="61" t="s">
        <v>635</v>
      </c>
      <c r="M6" s="61" t="s">
        <v>636</v>
      </c>
      <c r="N6" s="61"/>
      <c r="O6" s="61" t="s">
        <v>637</v>
      </c>
      <c r="P6" s="61" t="s">
        <v>638</v>
      </c>
      <c r="Q6" s="61" t="s">
        <v>639</v>
      </c>
      <c r="R6" s="61" t="s">
        <v>640</v>
      </c>
      <c r="S6" s="61" t="s">
        <v>641</v>
      </c>
      <c r="T6" s="61" t="s">
        <v>642</v>
      </c>
      <c r="U6" s="61" t="s">
        <v>643</v>
      </c>
      <c r="V6" s="62" t="s">
        <v>644</v>
      </c>
      <c r="W6" s="61" t="s">
        <v>645</v>
      </c>
      <c r="X6" s="61" t="s">
        <v>646</v>
      </c>
      <c r="Y6" s="61" t="s">
        <v>647</v>
      </c>
      <c r="Z6" s="61" t="s">
        <v>648</v>
      </c>
      <c r="AA6" s="61" t="s">
        <v>649</v>
      </c>
      <c r="AB6" s="63" t="s">
        <v>650</v>
      </c>
    </row>
    <row r="7" spans="1:28" x14ac:dyDescent="0.25">
      <c r="A7" s="38" t="s">
        <v>476</v>
      </c>
      <c r="B7" s="9" t="str">
        <f t="shared" si="1"/>
        <v>Verwendung zu regulatorischen Zwecken und Routineproduktion</v>
      </c>
      <c r="D7" s="60" t="s">
        <v>575</v>
      </c>
      <c r="E7" s="61" t="s">
        <v>576</v>
      </c>
      <c r="F7" s="62" t="s">
        <v>577</v>
      </c>
      <c r="G7" s="61" t="s">
        <v>578</v>
      </c>
      <c r="H7" s="61" t="s">
        <v>579</v>
      </c>
      <c r="I7" s="38" t="s">
        <v>403</v>
      </c>
      <c r="J7" s="61" t="s">
        <v>651</v>
      </c>
      <c r="K7" s="61" t="s">
        <v>652</v>
      </c>
      <c r="L7" s="61" t="s">
        <v>653</v>
      </c>
      <c r="M7" s="61" t="s">
        <v>654</v>
      </c>
      <c r="N7" s="61"/>
      <c r="O7" s="61" t="s">
        <v>655</v>
      </c>
      <c r="P7" s="61" t="s">
        <v>656</v>
      </c>
      <c r="Q7" s="61" t="s">
        <v>657</v>
      </c>
      <c r="R7" s="61" t="s">
        <v>658</v>
      </c>
      <c r="S7" s="61" t="s">
        <v>659</v>
      </c>
      <c r="T7" s="61" t="s">
        <v>660</v>
      </c>
      <c r="U7" s="61" t="s">
        <v>661</v>
      </c>
      <c r="V7" s="62" t="s">
        <v>662</v>
      </c>
      <c r="W7" s="61" t="s">
        <v>663</v>
      </c>
      <c r="X7" s="61" t="s">
        <v>664</v>
      </c>
      <c r="Y7" s="61" t="s">
        <v>665</v>
      </c>
      <c r="Z7" s="61" t="s">
        <v>666</v>
      </c>
      <c r="AA7" s="61" t="s">
        <v>667</v>
      </c>
      <c r="AB7" s="63" t="s">
        <v>668</v>
      </c>
    </row>
    <row r="8" spans="1:28" x14ac:dyDescent="0.25">
      <c r="A8" s="38" t="s">
        <v>485</v>
      </c>
      <c r="B8" s="9" t="str">
        <f t="shared" si="1"/>
        <v>Schutz der natürlichen Umwelt im Interesse der Gesundheit oder des Wohlbefindens von Menschen und Tieren</v>
      </c>
      <c r="D8" s="60" t="s">
        <v>580</v>
      </c>
      <c r="E8" s="61" t="s">
        <v>581</v>
      </c>
      <c r="F8" s="62" t="s">
        <v>582</v>
      </c>
      <c r="G8" s="61" t="s">
        <v>583</v>
      </c>
      <c r="H8" s="61" t="s">
        <v>584</v>
      </c>
      <c r="I8" s="38" t="s">
        <v>97</v>
      </c>
      <c r="J8" s="61" t="s">
        <v>669</v>
      </c>
      <c r="K8" s="61" t="s">
        <v>670</v>
      </c>
      <c r="L8" s="61" t="s">
        <v>671</v>
      </c>
      <c r="M8" s="61" t="s">
        <v>672</v>
      </c>
      <c r="N8" s="61"/>
      <c r="O8" s="61" t="s">
        <v>673</v>
      </c>
      <c r="P8" s="61" t="s">
        <v>674</v>
      </c>
      <c r="Q8" s="61" t="s">
        <v>675</v>
      </c>
      <c r="R8" s="61" t="s">
        <v>676</v>
      </c>
      <c r="S8" s="61" t="s">
        <v>677</v>
      </c>
      <c r="T8" s="61" t="s">
        <v>678</v>
      </c>
      <c r="U8" s="61" t="s">
        <v>679</v>
      </c>
      <c r="V8" s="62" t="s">
        <v>680</v>
      </c>
      <c r="W8" s="61" t="s">
        <v>681</v>
      </c>
      <c r="X8" s="61" t="s">
        <v>682</v>
      </c>
      <c r="Y8" s="61" t="s">
        <v>683</v>
      </c>
      <c r="Z8" s="61" t="s">
        <v>684</v>
      </c>
      <c r="AA8" s="61" t="s">
        <v>685</v>
      </c>
      <c r="AB8" s="63" t="s">
        <v>686</v>
      </c>
    </row>
    <row r="9" spans="1:28" x14ac:dyDescent="0.25">
      <c r="A9" s="38" t="s">
        <v>486</v>
      </c>
      <c r="B9" s="9" t="str">
        <f t="shared" si="1"/>
        <v>Erhaltung der Art</v>
      </c>
      <c r="D9" s="60" t="s">
        <v>585</v>
      </c>
      <c r="E9" s="61" t="s">
        <v>586</v>
      </c>
      <c r="F9" s="62" t="s">
        <v>587</v>
      </c>
      <c r="G9" s="61" t="s">
        <v>588</v>
      </c>
      <c r="H9" s="61" t="s">
        <v>589</v>
      </c>
      <c r="I9" s="38" t="s">
        <v>98</v>
      </c>
      <c r="J9" s="61" t="s">
        <v>687</v>
      </c>
      <c r="K9" s="61" t="s">
        <v>688</v>
      </c>
      <c r="L9" s="61" t="s">
        <v>689</v>
      </c>
      <c r="M9" s="61" t="s">
        <v>690</v>
      </c>
      <c r="N9" s="61"/>
      <c r="O9" s="61" t="s">
        <v>691</v>
      </c>
      <c r="P9" s="61" t="s">
        <v>692</v>
      </c>
      <c r="Q9" s="61" t="s">
        <v>693</v>
      </c>
      <c r="R9" s="61" t="s">
        <v>694</v>
      </c>
      <c r="S9" s="61" t="s">
        <v>695</v>
      </c>
      <c r="T9" s="61" t="s">
        <v>696</v>
      </c>
      <c r="U9" s="61" t="s">
        <v>697</v>
      </c>
      <c r="V9" s="62" t="s">
        <v>698</v>
      </c>
      <c r="W9" s="61" t="s">
        <v>699</v>
      </c>
      <c r="X9" s="61" t="s">
        <v>700</v>
      </c>
      <c r="Y9" s="61" t="s">
        <v>701</v>
      </c>
      <c r="Z9" s="61" t="s">
        <v>702</v>
      </c>
      <c r="AA9" s="61" t="s">
        <v>703</v>
      </c>
      <c r="AB9" s="63" t="s">
        <v>704</v>
      </c>
    </row>
    <row r="10" spans="1:28" x14ac:dyDescent="0.25">
      <c r="A10" s="39" t="s">
        <v>487</v>
      </c>
      <c r="B10" s="9" t="str">
        <f t="shared" si="1"/>
        <v>Hochschulausbildung</v>
      </c>
      <c r="D10" s="60" t="s">
        <v>590</v>
      </c>
      <c r="E10" s="61" t="s">
        <v>591</v>
      </c>
      <c r="F10" s="62" t="s">
        <v>592</v>
      </c>
      <c r="G10" s="61" t="s">
        <v>593</v>
      </c>
      <c r="H10" s="61" t="s">
        <v>594</v>
      </c>
      <c r="I10" s="38" t="s">
        <v>99</v>
      </c>
      <c r="J10" s="61" t="s">
        <v>705</v>
      </c>
      <c r="K10" s="61" t="s">
        <v>706</v>
      </c>
      <c r="L10" s="61" t="s">
        <v>707</v>
      </c>
      <c r="M10" s="61" t="s">
        <v>708</v>
      </c>
      <c r="N10" s="61"/>
      <c r="O10" s="61" t="s">
        <v>709</v>
      </c>
      <c r="P10" s="61" t="s">
        <v>710</v>
      </c>
      <c r="Q10" s="61" t="s">
        <v>711</v>
      </c>
      <c r="R10" s="61" t="s">
        <v>712</v>
      </c>
      <c r="S10" s="61" t="s">
        <v>713</v>
      </c>
      <c r="T10" s="61" t="s">
        <v>714</v>
      </c>
      <c r="U10" s="61" t="s">
        <v>715</v>
      </c>
      <c r="V10" s="62" t="s">
        <v>716</v>
      </c>
      <c r="W10" s="61" t="s">
        <v>717</v>
      </c>
      <c r="X10" s="61" t="s">
        <v>718</v>
      </c>
      <c r="Y10" s="61" t="s">
        <v>719</v>
      </c>
      <c r="Z10" s="61" t="s">
        <v>720</v>
      </c>
      <c r="AA10" s="61" t="s">
        <v>721</v>
      </c>
      <c r="AB10" s="63" t="s">
        <v>722</v>
      </c>
    </row>
    <row r="11" spans="1:28" x14ac:dyDescent="0.25">
      <c r="A11" s="39" t="s">
        <v>488</v>
      </c>
      <c r="B11" s="9" t="str">
        <f t="shared" si="1"/>
        <v>Schulung zum Erwerb, zur Erhaltung oder zur Verbesserung beruflicher Fähigkeiten</v>
      </c>
      <c r="D11" s="60" t="s">
        <v>595</v>
      </c>
      <c r="E11" s="61" t="s">
        <v>596</v>
      </c>
      <c r="F11" s="62" t="s">
        <v>597</v>
      </c>
      <c r="G11" s="61" t="s">
        <v>598</v>
      </c>
      <c r="H11" s="61" t="s">
        <v>599</v>
      </c>
      <c r="I11" s="38" t="s">
        <v>404</v>
      </c>
      <c r="J11" s="61" t="s">
        <v>723</v>
      </c>
      <c r="K11" s="61" t="s">
        <v>724</v>
      </c>
      <c r="L11" s="61" t="s">
        <v>725</v>
      </c>
      <c r="M11" s="61" t="s">
        <v>726</v>
      </c>
      <c r="N11" s="61"/>
      <c r="O11" s="61" t="s">
        <v>727</v>
      </c>
      <c r="P11" s="61" t="s">
        <v>728</v>
      </c>
      <c r="Q11" s="61" t="s">
        <v>729</v>
      </c>
      <c r="R11" s="61" t="s">
        <v>730</v>
      </c>
      <c r="S11" s="61" t="s">
        <v>731</v>
      </c>
      <c r="T11" s="61" t="s">
        <v>732</v>
      </c>
      <c r="U11" s="61" t="s">
        <v>733</v>
      </c>
      <c r="V11" s="62" t="s">
        <v>734</v>
      </c>
      <c r="W11" s="61" t="s">
        <v>735</v>
      </c>
      <c r="X11" s="61" t="s">
        <v>736</v>
      </c>
      <c r="Y11" s="61" t="s">
        <v>737</v>
      </c>
      <c r="Z11" s="61" t="s">
        <v>738</v>
      </c>
      <c r="AA11" s="61" t="s">
        <v>739</v>
      </c>
      <c r="AB11" s="63" t="s">
        <v>740</v>
      </c>
    </row>
    <row r="12" spans="1:28" x14ac:dyDescent="0.25">
      <c r="A12" s="38" t="s">
        <v>489</v>
      </c>
      <c r="B12" s="9" t="str">
        <f t="shared" si="1"/>
        <v>Forensische Untersuchungen</v>
      </c>
      <c r="D12" s="60" t="s">
        <v>600</v>
      </c>
      <c r="E12" s="61" t="s">
        <v>601</v>
      </c>
      <c r="F12" s="62" t="s">
        <v>602</v>
      </c>
      <c r="G12" s="61" t="s">
        <v>603</v>
      </c>
      <c r="H12" s="61" t="s">
        <v>604</v>
      </c>
      <c r="I12" s="38" t="s">
        <v>101</v>
      </c>
      <c r="J12" s="61" t="s">
        <v>741</v>
      </c>
      <c r="K12" s="61" t="s">
        <v>742</v>
      </c>
      <c r="L12" s="61" t="s">
        <v>743</v>
      </c>
      <c r="M12" s="61" t="s">
        <v>744</v>
      </c>
      <c r="N12" s="61"/>
      <c r="O12" s="61" t="s">
        <v>745</v>
      </c>
      <c r="P12" s="61" t="s">
        <v>746</v>
      </c>
      <c r="Q12" s="61" t="s">
        <v>747</v>
      </c>
      <c r="R12" s="61" t="s">
        <v>748</v>
      </c>
      <c r="S12" s="61" t="s">
        <v>749</v>
      </c>
      <c r="T12" s="61" t="s">
        <v>750</v>
      </c>
      <c r="U12" s="61" t="s">
        <v>751</v>
      </c>
      <c r="V12" s="62" t="s">
        <v>752</v>
      </c>
      <c r="W12" s="61" t="s">
        <v>753</v>
      </c>
      <c r="X12" s="61" t="s">
        <v>754</v>
      </c>
      <c r="Y12" s="61" t="s">
        <v>755</v>
      </c>
      <c r="Z12" s="61" t="s">
        <v>756</v>
      </c>
      <c r="AA12" s="61" t="s">
        <v>757</v>
      </c>
      <c r="AB12" s="63" t="s">
        <v>758</v>
      </c>
    </row>
    <row r="13" spans="1:28" x14ac:dyDescent="0.25">
      <c r="A13" s="3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Erhaltung von Kolonien etablierter genetisch veränderter Tiere, die nicht in anderen Verfahren verwendet werden</v>
      </c>
      <c r="D13" s="60" t="s">
        <v>605</v>
      </c>
      <c r="E13" s="61" t="s">
        <v>606</v>
      </c>
      <c r="F13" s="62" t="s">
        <v>607</v>
      </c>
      <c r="G13" s="61" t="s">
        <v>608</v>
      </c>
      <c r="H13" s="61" t="s">
        <v>609</v>
      </c>
      <c r="I13" s="38" t="s">
        <v>405</v>
      </c>
      <c r="J13" s="61" t="s">
        <v>759</v>
      </c>
      <c r="K13" s="61" t="s">
        <v>760</v>
      </c>
      <c r="L13" s="61" t="s">
        <v>761</v>
      </c>
      <c r="M13" s="61" t="s">
        <v>762</v>
      </c>
      <c r="N13" s="61"/>
      <c r="O13" s="61" t="s">
        <v>763</v>
      </c>
      <c r="P13" s="61" t="s">
        <v>764</v>
      </c>
      <c r="Q13" s="61" t="s">
        <v>765</v>
      </c>
      <c r="R13" s="61" t="s">
        <v>766</v>
      </c>
      <c r="S13" s="61" t="s">
        <v>767</v>
      </c>
      <c r="T13" s="61" t="s">
        <v>768</v>
      </c>
      <c r="U13" s="61" t="s">
        <v>769</v>
      </c>
      <c r="V13" s="62" t="s">
        <v>770</v>
      </c>
      <c r="W13" s="61" t="s">
        <v>771</v>
      </c>
      <c r="X13" s="61" t="s">
        <v>772</v>
      </c>
      <c r="Y13" s="61" t="s">
        <v>773</v>
      </c>
      <c r="Z13" s="61" t="s">
        <v>774</v>
      </c>
      <c r="AA13" s="61" t="s">
        <v>775</v>
      </c>
      <c r="AB13" s="63" t="s">
        <v>776</v>
      </c>
    </row>
    <row r="14" spans="1:28" ht="15.75" thickBot="1" x14ac:dyDescent="0.3">
      <c r="A14" s="38" t="s">
        <v>544</v>
      </c>
      <c r="B14" s="9" t="str">
        <f t="shared" si="1"/>
        <v>Nicht-EU-Zweck</v>
      </c>
      <c r="D14" s="64" t="s">
        <v>610</v>
      </c>
      <c r="E14" s="65" t="s">
        <v>611</v>
      </c>
      <c r="F14" s="66" t="s">
        <v>612</v>
      </c>
      <c r="G14" s="65" t="s">
        <v>613</v>
      </c>
      <c r="H14" s="65" t="s">
        <v>614</v>
      </c>
      <c r="I14" s="47" t="s">
        <v>545</v>
      </c>
      <c r="J14" s="65" t="s">
        <v>777</v>
      </c>
      <c r="K14" s="65" t="s">
        <v>778</v>
      </c>
      <c r="L14" s="65" t="s">
        <v>779</v>
      </c>
      <c r="M14" s="65" t="s">
        <v>780</v>
      </c>
      <c r="N14" s="65"/>
      <c r="O14" s="65" t="s">
        <v>781</v>
      </c>
      <c r="P14" s="65" t="s">
        <v>782</v>
      </c>
      <c r="Q14" s="65" t="s">
        <v>783</v>
      </c>
      <c r="R14" s="65" t="s">
        <v>784</v>
      </c>
      <c r="S14" s="65" t="s">
        <v>785</v>
      </c>
      <c r="T14" s="65" t="s">
        <v>786</v>
      </c>
      <c r="U14" s="65" t="s">
        <v>787</v>
      </c>
      <c r="V14" s="66" t="s">
        <v>788</v>
      </c>
      <c r="W14" s="65" t="s">
        <v>789</v>
      </c>
      <c r="X14" s="65" t="s">
        <v>790</v>
      </c>
      <c r="Y14" s="65" t="s">
        <v>791</v>
      </c>
      <c r="Z14" s="65" t="s">
        <v>792</v>
      </c>
      <c r="AA14" s="65" t="s">
        <v>793</v>
      </c>
      <c r="AB14" s="67" t="s">
        <v>794</v>
      </c>
    </row>
    <row r="15" spans="1:28" ht="15.75" thickBot="1" x14ac:dyDescent="0.3">
      <c r="D15" s="38"/>
      <c r="E15" s="38"/>
      <c r="F15" s="38"/>
      <c r="G15" s="38"/>
      <c r="H15" s="38"/>
      <c r="I15" s="38"/>
      <c r="J15" s="38"/>
      <c r="K15" s="38"/>
      <c r="L15" s="38"/>
      <c r="M15" s="38"/>
      <c r="N15" s="38"/>
      <c r="O15" s="38"/>
      <c r="P15" s="38"/>
      <c r="Q15" s="38"/>
      <c r="R15" s="38"/>
      <c r="S15" s="38"/>
      <c r="T15" s="38"/>
      <c r="U15" s="38"/>
      <c r="V15" s="38"/>
      <c r="W15" s="38"/>
      <c r="X15" s="38"/>
      <c r="Y15" s="38"/>
      <c r="Z15" s="38"/>
      <c r="AA15" s="38"/>
      <c r="AB15" s="38"/>
    </row>
    <row r="16" spans="1:28" x14ac:dyDescent="0.25">
      <c r="A16" s="43" t="s">
        <v>408</v>
      </c>
      <c r="B16" s="42" t="s">
        <v>409</v>
      </c>
      <c r="C16" s="42" t="s">
        <v>410</v>
      </c>
      <c r="D16" s="34" t="str">
        <f t="shared" ref="D16:AB16" si="3">languages</f>
        <v>bg</v>
      </c>
      <c r="E16" s="35" t="str">
        <f t="shared" si="3"/>
        <v>cs</v>
      </c>
      <c r="F16" s="35" t="str">
        <f t="shared" si="3"/>
        <v>da</v>
      </c>
      <c r="G16" s="35" t="str">
        <f t="shared" si="3"/>
        <v>de</v>
      </c>
      <c r="H16" s="35" t="str">
        <f t="shared" si="3"/>
        <v>el</v>
      </c>
      <c r="I16" s="35" t="str">
        <f t="shared" si="3"/>
        <v>en</v>
      </c>
      <c r="J16" s="35" t="str">
        <f t="shared" si="3"/>
        <v>es</v>
      </c>
      <c r="K16" s="35" t="str">
        <f t="shared" si="3"/>
        <v>et</v>
      </c>
      <c r="L16" s="35" t="str">
        <f t="shared" si="3"/>
        <v>fi</v>
      </c>
      <c r="M16" s="35" t="str">
        <f t="shared" si="3"/>
        <v>fr</v>
      </c>
      <c r="N16" s="35" t="str">
        <f t="shared" si="3"/>
        <v>ga</v>
      </c>
      <c r="O16" s="35" t="str">
        <f t="shared" si="3"/>
        <v>hr</v>
      </c>
      <c r="P16" s="35" t="str">
        <f t="shared" si="3"/>
        <v>hu</v>
      </c>
      <c r="Q16" s="35" t="str">
        <f t="shared" si="3"/>
        <v>it</v>
      </c>
      <c r="R16" s="35" t="str">
        <f t="shared" si="3"/>
        <v>lt</v>
      </c>
      <c r="S16" s="35" t="str">
        <f t="shared" si="3"/>
        <v>lv</v>
      </c>
      <c r="T16" s="35" t="str">
        <f t="shared" si="3"/>
        <v>mt</v>
      </c>
      <c r="U16" s="35" t="str">
        <f t="shared" si="3"/>
        <v>nl</v>
      </c>
      <c r="V16" s="35" t="str">
        <f t="shared" si="3"/>
        <v>pl</v>
      </c>
      <c r="W16" s="35" t="str">
        <f t="shared" si="3"/>
        <v>pt</v>
      </c>
      <c r="X16" s="35" t="str">
        <f t="shared" si="3"/>
        <v>ro</v>
      </c>
      <c r="Y16" s="35" t="str">
        <f t="shared" si="3"/>
        <v>sk</v>
      </c>
      <c r="Z16" s="35" t="str">
        <f t="shared" si="3"/>
        <v>sl</v>
      </c>
      <c r="AA16" s="35" t="str">
        <f t="shared" si="3"/>
        <v>sv</v>
      </c>
      <c r="AB16" s="36" t="str">
        <f t="shared" si="3"/>
        <v>no</v>
      </c>
    </row>
    <row r="17" spans="1:28" x14ac:dyDescent="0.25">
      <c r="A17" s="9" t="s">
        <v>425</v>
      </c>
      <c r="B17" s="9" t="str">
        <f t="shared" ref="B17:B52" si="4">IF(TRIM(HLOOKUP(language_or_default,purposeTranslations,MATCH(A17,purposeCode,0),FALSE))="",HLOOKUP("en",purposeTranslations,MATCH(A17,purposeCode,0),FALSE),HLOOKUP(language_or_default,purposeTranslations,MATCH(A17,purposeCode,0),FALSE))</f>
        <v>Onkologie</v>
      </c>
      <c r="C17" s="9" t="str">
        <f>CONCATENATE(B$5,": ",B17," [",A17,"]")</f>
        <v>Grundlagenforschung: Onkologie [PB1]</v>
      </c>
      <c r="D17" s="60" t="s">
        <v>795</v>
      </c>
      <c r="E17" s="61" t="s">
        <v>796</v>
      </c>
      <c r="F17" s="62" t="s">
        <v>797</v>
      </c>
      <c r="G17" s="61" t="s">
        <v>796</v>
      </c>
      <c r="H17" s="61" t="s">
        <v>798</v>
      </c>
      <c r="I17" s="38" t="s">
        <v>411</v>
      </c>
      <c r="J17" s="61" t="s">
        <v>974</v>
      </c>
      <c r="K17" s="61" t="s">
        <v>975</v>
      </c>
      <c r="L17" s="61" t="s">
        <v>976</v>
      </c>
      <c r="M17" s="61" t="s">
        <v>977</v>
      </c>
      <c r="N17" s="61"/>
      <c r="O17" s="61" t="s">
        <v>978</v>
      </c>
      <c r="P17" s="61" t="s">
        <v>979</v>
      </c>
      <c r="Q17" s="61" t="s">
        <v>980</v>
      </c>
      <c r="R17" s="61" t="s">
        <v>978</v>
      </c>
      <c r="S17" s="61" t="s">
        <v>981</v>
      </c>
      <c r="T17" s="61" t="s">
        <v>982</v>
      </c>
      <c r="U17" s="61" t="s">
        <v>977</v>
      </c>
      <c r="V17" s="62" t="s">
        <v>983</v>
      </c>
      <c r="W17" s="61" t="s">
        <v>980</v>
      </c>
      <c r="X17" s="61" t="s">
        <v>977</v>
      </c>
      <c r="Y17" s="61" t="s">
        <v>984</v>
      </c>
      <c r="Z17" s="61" t="s">
        <v>978</v>
      </c>
      <c r="AA17" s="61" t="s">
        <v>985</v>
      </c>
      <c r="AB17" s="63" t="s">
        <v>797</v>
      </c>
    </row>
    <row r="18" spans="1:28" x14ac:dyDescent="0.25">
      <c r="A18" s="9" t="s">
        <v>426</v>
      </c>
      <c r="B18" s="9" t="str">
        <f t="shared" si="4"/>
        <v>Kardiovaskuläres System (Blut- und Lymphgefäße)</v>
      </c>
      <c r="C18" s="9" t="str">
        <f t="shared" ref="C18:C30" si="5">CONCATENATE(B$5,": ",B18," [",A18,"]")</f>
        <v>Grundlagenforschung: Kardiovaskuläres System (Blut- und Lymphgefäße) [PB2]</v>
      </c>
      <c r="D18" s="60" t="s">
        <v>799</v>
      </c>
      <c r="E18" s="61" t="s">
        <v>800</v>
      </c>
      <c r="F18" s="62" t="s">
        <v>801</v>
      </c>
      <c r="G18" s="61" t="s">
        <v>802</v>
      </c>
      <c r="H18" s="61" t="s">
        <v>803</v>
      </c>
      <c r="I18" s="38" t="s">
        <v>412</v>
      </c>
      <c r="J18" s="61" t="s">
        <v>986</v>
      </c>
      <c r="K18" s="61" t="s">
        <v>987</v>
      </c>
      <c r="L18" s="61" t="s">
        <v>988</v>
      </c>
      <c r="M18" s="61" t="s">
        <v>989</v>
      </c>
      <c r="N18" s="61"/>
      <c r="O18" s="61" t="s">
        <v>990</v>
      </c>
      <c r="P18" s="61" t="s">
        <v>991</v>
      </c>
      <c r="Q18" s="61" t="s">
        <v>992</v>
      </c>
      <c r="R18" s="61" t="s">
        <v>993</v>
      </c>
      <c r="S18" s="61" t="s">
        <v>994</v>
      </c>
      <c r="T18" s="61" t="s">
        <v>995</v>
      </c>
      <c r="U18" s="61" t="s">
        <v>996</v>
      </c>
      <c r="V18" s="62" t="s">
        <v>997</v>
      </c>
      <c r="W18" s="61" t="s">
        <v>998</v>
      </c>
      <c r="X18" s="61" t="s">
        <v>999</v>
      </c>
      <c r="Y18" s="61" t="s">
        <v>1000</v>
      </c>
      <c r="Z18" s="61" t="s">
        <v>1001</v>
      </c>
      <c r="AA18" s="61" t="s">
        <v>1002</v>
      </c>
      <c r="AB18" s="63" t="s">
        <v>1003</v>
      </c>
    </row>
    <row r="19" spans="1:28" x14ac:dyDescent="0.25">
      <c r="A19" s="9" t="s">
        <v>427</v>
      </c>
      <c r="B19" s="9" t="str">
        <f t="shared" si="4"/>
        <v>Nervensystem</v>
      </c>
      <c r="C19" s="9" t="str">
        <f t="shared" si="5"/>
        <v>Grundlagenforschung: Nervensystem [PB3]</v>
      </c>
      <c r="D19" s="60" t="s">
        <v>804</v>
      </c>
      <c r="E19" s="61" t="s">
        <v>805</v>
      </c>
      <c r="F19" s="62" t="s">
        <v>806</v>
      </c>
      <c r="G19" s="61" t="s">
        <v>807</v>
      </c>
      <c r="H19" s="61" t="s">
        <v>808</v>
      </c>
      <c r="I19" s="38" t="s">
        <v>413</v>
      </c>
      <c r="J19" s="61" t="s">
        <v>1004</v>
      </c>
      <c r="K19" s="61" t="s">
        <v>1005</v>
      </c>
      <c r="L19" s="61" t="s">
        <v>1006</v>
      </c>
      <c r="M19" s="61" t="s">
        <v>1007</v>
      </c>
      <c r="N19" s="61"/>
      <c r="O19" s="61" t="s">
        <v>1008</v>
      </c>
      <c r="P19" s="61" t="s">
        <v>1009</v>
      </c>
      <c r="Q19" s="61" t="s">
        <v>1010</v>
      </c>
      <c r="R19" s="61" t="s">
        <v>1011</v>
      </c>
      <c r="S19" s="61" t="s">
        <v>1012</v>
      </c>
      <c r="T19" s="61" t="s">
        <v>1013</v>
      </c>
      <c r="U19" s="61" t="s">
        <v>1014</v>
      </c>
      <c r="V19" s="62" t="s">
        <v>1015</v>
      </c>
      <c r="W19" s="61" t="s">
        <v>1010</v>
      </c>
      <c r="X19" s="61" t="s">
        <v>1016</v>
      </c>
      <c r="Y19" s="61" t="s">
        <v>1017</v>
      </c>
      <c r="Z19" s="61" t="s">
        <v>1018</v>
      </c>
      <c r="AA19" s="61" t="s">
        <v>1019</v>
      </c>
      <c r="AB19" s="63" t="s">
        <v>1020</v>
      </c>
    </row>
    <row r="20" spans="1:28" x14ac:dyDescent="0.25">
      <c r="A20" s="9" t="s">
        <v>428</v>
      </c>
      <c r="B20" s="9" t="str">
        <f t="shared" si="4"/>
        <v>Atmungssystem</v>
      </c>
      <c r="C20" s="9" t="str">
        <f t="shared" si="5"/>
        <v>Grundlagenforschung: Atmungssystem [PB4]</v>
      </c>
      <c r="D20" s="60" t="s">
        <v>809</v>
      </c>
      <c r="E20" s="61" t="s">
        <v>810</v>
      </c>
      <c r="F20" s="62" t="s">
        <v>811</v>
      </c>
      <c r="G20" s="61" t="s">
        <v>812</v>
      </c>
      <c r="H20" s="61" t="s">
        <v>813</v>
      </c>
      <c r="I20" s="38" t="s">
        <v>414</v>
      </c>
      <c r="J20" s="61" t="s">
        <v>1021</v>
      </c>
      <c r="K20" s="61" t="s">
        <v>1022</v>
      </c>
      <c r="L20" s="61" t="s">
        <v>1023</v>
      </c>
      <c r="M20" s="61" t="s">
        <v>1024</v>
      </c>
      <c r="N20" s="61"/>
      <c r="O20" s="61" t="s">
        <v>1025</v>
      </c>
      <c r="P20" s="61" t="s">
        <v>1026</v>
      </c>
      <c r="Q20" s="61" t="s">
        <v>1027</v>
      </c>
      <c r="R20" s="61" t="s">
        <v>1028</v>
      </c>
      <c r="S20" s="61" t="s">
        <v>1029</v>
      </c>
      <c r="T20" s="61" t="s">
        <v>1030</v>
      </c>
      <c r="U20" s="61" t="s">
        <v>1031</v>
      </c>
      <c r="V20" s="62" t="s">
        <v>1032</v>
      </c>
      <c r="W20" s="61" t="s">
        <v>1033</v>
      </c>
      <c r="X20" s="61" t="s">
        <v>1034</v>
      </c>
      <c r="Y20" s="61" t="s">
        <v>1035</v>
      </c>
      <c r="Z20" s="61" t="s">
        <v>1036</v>
      </c>
      <c r="AA20" s="61" t="s">
        <v>1037</v>
      </c>
      <c r="AB20" s="63" t="s">
        <v>1038</v>
      </c>
    </row>
    <row r="21" spans="1:28" x14ac:dyDescent="0.25">
      <c r="A21" s="9" t="s">
        <v>429</v>
      </c>
      <c r="B21" s="9" t="str">
        <f t="shared" si="4"/>
        <v>Gastrointestinales System, einschließlich Leber</v>
      </c>
      <c r="C21" s="9" t="str">
        <f t="shared" si="5"/>
        <v>Grundlagenforschung: Gastrointestinales System, einschließlich Leber [PB5]</v>
      </c>
      <c r="D21" s="60" t="s">
        <v>814</v>
      </c>
      <c r="E21" s="61" t="s">
        <v>815</v>
      </c>
      <c r="F21" s="62" t="s">
        <v>816</v>
      </c>
      <c r="G21" s="61" t="s">
        <v>817</v>
      </c>
      <c r="H21" s="61" t="s">
        <v>818</v>
      </c>
      <c r="I21" s="38" t="s">
        <v>415</v>
      </c>
      <c r="J21" s="61" t="s">
        <v>1039</v>
      </c>
      <c r="K21" s="61" t="s">
        <v>1040</v>
      </c>
      <c r="L21" s="61" t="s">
        <v>1041</v>
      </c>
      <c r="M21" s="61" t="s">
        <v>1042</v>
      </c>
      <c r="N21" s="61"/>
      <c r="O21" s="61" t="s">
        <v>1043</v>
      </c>
      <c r="P21" s="61" t="s">
        <v>1044</v>
      </c>
      <c r="Q21" s="61" t="s">
        <v>1045</v>
      </c>
      <c r="R21" s="61" t="s">
        <v>1046</v>
      </c>
      <c r="S21" s="61" t="s">
        <v>1047</v>
      </c>
      <c r="T21" s="61" t="s">
        <v>1048</v>
      </c>
      <c r="U21" s="61" t="s">
        <v>1049</v>
      </c>
      <c r="V21" s="62" t="s">
        <v>1050</v>
      </c>
      <c r="W21" s="61" t="s">
        <v>1051</v>
      </c>
      <c r="X21" s="61" t="s">
        <v>1052</v>
      </c>
      <c r="Y21" s="61" t="s">
        <v>1053</v>
      </c>
      <c r="Z21" s="61" t="s">
        <v>1054</v>
      </c>
      <c r="AA21" s="61" t="s">
        <v>1055</v>
      </c>
      <c r="AB21" s="63" t="s">
        <v>1056</v>
      </c>
    </row>
    <row r="22" spans="1:28" x14ac:dyDescent="0.25">
      <c r="A22" s="9" t="s">
        <v>430</v>
      </c>
      <c r="B22" s="9" t="str">
        <f t="shared" si="4"/>
        <v>Muskuloskelettales System</v>
      </c>
      <c r="C22" s="9" t="str">
        <f t="shared" si="5"/>
        <v>Grundlagenforschung: Muskuloskelettales System [PB6]</v>
      </c>
      <c r="D22" s="60" t="s">
        <v>819</v>
      </c>
      <c r="E22" s="61" t="s">
        <v>820</v>
      </c>
      <c r="F22" s="62" t="s">
        <v>821</v>
      </c>
      <c r="G22" s="61" t="s">
        <v>822</v>
      </c>
      <c r="H22" s="61" t="s">
        <v>823</v>
      </c>
      <c r="I22" s="38" t="s">
        <v>416</v>
      </c>
      <c r="J22" s="61" t="s">
        <v>1057</v>
      </c>
      <c r="K22" s="61" t="s">
        <v>1058</v>
      </c>
      <c r="L22" s="61" t="s">
        <v>1059</v>
      </c>
      <c r="M22" s="61" t="s">
        <v>1060</v>
      </c>
      <c r="N22" s="61"/>
      <c r="O22" s="61" t="s">
        <v>1061</v>
      </c>
      <c r="P22" s="61" t="s">
        <v>1062</v>
      </c>
      <c r="Q22" s="61" t="s">
        <v>1063</v>
      </c>
      <c r="R22" s="61" t="s">
        <v>1064</v>
      </c>
      <c r="S22" s="61" t="s">
        <v>1065</v>
      </c>
      <c r="T22" s="61" t="s">
        <v>1066</v>
      </c>
      <c r="U22" s="61" t="s">
        <v>1067</v>
      </c>
      <c r="V22" s="62" t="s">
        <v>1068</v>
      </c>
      <c r="W22" s="61" t="s">
        <v>1069</v>
      </c>
      <c r="X22" s="61" t="s">
        <v>1070</v>
      </c>
      <c r="Y22" s="61" t="s">
        <v>1071</v>
      </c>
      <c r="Z22" s="61" t="s">
        <v>1072</v>
      </c>
      <c r="AA22" s="61" t="s">
        <v>1073</v>
      </c>
      <c r="AB22" s="63" t="s">
        <v>1074</v>
      </c>
    </row>
    <row r="23" spans="1:28" x14ac:dyDescent="0.25">
      <c r="A23" s="9" t="s">
        <v>431</v>
      </c>
      <c r="B23" s="9" t="str">
        <f t="shared" si="4"/>
        <v>Immunsystem</v>
      </c>
      <c r="C23" s="9" t="str">
        <f t="shared" si="5"/>
        <v>Grundlagenforschung: Immunsystem [PB7]</v>
      </c>
      <c r="D23" s="60" t="s">
        <v>824</v>
      </c>
      <c r="E23" s="61" t="s">
        <v>825</v>
      </c>
      <c r="F23" s="62" t="s">
        <v>826</v>
      </c>
      <c r="G23" s="61" t="s">
        <v>827</v>
      </c>
      <c r="H23" s="61" t="s">
        <v>828</v>
      </c>
      <c r="I23" s="38" t="s">
        <v>417</v>
      </c>
      <c r="J23" s="61" t="s">
        <v>1075</v>
      </c>
      <c r="K23" s="61" t="s">
        <v>1076</v>
      </c>
      <c r="L23" s="61" t="s">
        <v>1077</v>
      </c>
      <c r="M23" s="61" t="s">
        <v>1078</v>
      </c>
      <c r="N23" s="61"/>
      <c r="O23" s="61" t="s">
        <v>1079</v>
      </c>
      <c r="P23" s="61" t="s">
        <v>1080</v>
      </c>
      <c r="Q23" s="61" t="s">
        <v>1081</v>
      </c>
      <c r="R23" s="61" t="s">
        <v>1082</v>
      </c>
      <c r="S23" s="61" t="s">
        <v>1083</v>
      </c>
      <c r="T23" s="61" t="s">
        <v>1084</v>
      </c>
      <c r="U23" s="61" t="s">
        <v>1085</v>
      </c>
      <c r="V23" s="62" t="s">
        <v>1086</v>
      </c>
      <c r="W23" s="61" t="s">
        <v>1087</v>
      </c>
      <c r="X23" s="61" t="s">
        <v>1088</v>
      </c>
      <c r="Y23" s="61" t="s">
        <v>1089</v>
      </c>
      <c r="Z23" s="61" t="s">
        <v>1090</v>
      </c>
      <c r="AA23" s="61" t="s">
        <v>1091</v>
      </c>
      <c r="AB23" s="63" t="s">
        <v>827</v>
      </c>
    </row>
    <row r="24" spans="1:28" x14ac:dyDescent="0.25">
      <c r="A24" s="9" t="s">
        <v>432</v>
      </c>
      <c r="B24" s="9" t="str">
        <f t="shared" si="4"/>
        <v>Urogenitales/Fortpflanzungssystem</v>
      </c>
      <c r="C24" s="9" t="str">
        <f t="shared" si="5"/>
        <v>Grundlagenforschung: Urogenitales/Fortpflanzungssystem [PB8]</v>
      </c>
      <c r="D24" s="60" t="s">
        <v>829</v>
      </c>
      <c r="E24" s="61" t="s">
        <v>830</v>
      </c>
      <c r="F24" s="62" t="s">
        <v>831</v>
      </c>
      <c r="G24" s="61" t="s">
        <v>832</v>
      </c>
      <c r="H24" s="61" t="s">
        <v>833</v>
      </c>
      <c r="I24" s="38" t="s">
        <v>418</v>
      </c>
      <c r="J24" s="61" t="s">
        <v>1092</v>
      </c>
      <c r="K24" s="61" t="s">
        <v>1093</v>
      </c>
      <c r="L24" s="61" t="s">
        <v>1094</v>
      </c>
      <c r="M24" s="61" t="s">
        <v>1095</v>
      </c>
      <c r="N24" s="61"/>
      <c r="O24" s="61" t="s">
        <v>1096</v>
      </c>
      <c r="P24" s="61" t="s">
        <v>1097</v>
      </c>
      <c r="Q24" s="61" t="s">
        <v>1098</v>
      </c>
      <c r="R24" s="61" t="s">
        <v>1099</v>
      </c>
      <c r="S24" s="61" t="s">
        <v>1100</v>
      </c>
      <c r="T24" s="61" t="s">
        <v>1101</v>
      </c>
      <c r="U24" s="61" t="s">
        <v>1102</v>
      </c>
      <c r="V24" s="62" t="s">
        <v>1103</v>
      </c>
      <c r="W24" s="61" t="s">
        <v>1104</v>
      </c>
      <c r="X24" s="61" t="s">
        <v>1105</v>
      </c>
      <c r="Y24" s="61" t="s">
        <v>1106</v>
      </c>
      <c r="Z24" s="61" t="s">
        <v>1107</v>
      </c>
      <c r="AA24" s="61" t="s">
        <v>1108</v>
      </c>
      <c r="AB24" s="63" t="s">
        <v>1109</v>
      </c>
    </row>
    <row r="25" spans="1:28" x14ac:dyDescent="0.25">
      <c r="A25" s="9" t="s">
        <v>433</v>
      </c>
      <c r="B25" s="9" t="str">
        <f t="shared" si="4"/>
        <v>Sinnesorgane (Haut, Augen und Ohren)</v>
      </c>
      <c r="C25" s="9" t="str">
        <f t="shared" si="5"/>
        <v>Grundlagenforschung: Sinnesorgane (Haut, Augen und Ohren) [PB9]</v>
      </c>
      <c r="D25" s="60" t="s">
        <v>834</v>
      </c>
      <c r="E25" s="61" t="s">
        <v>835</v>
      </c>
      <c r="F25" s="62" t="s">
        <v>836</v>
      </c>
      <c r="G25" s="61" t="s">
        <v>837</v>
      </c>
      <c r="H25" s="61" t="s">
        <v>838</v>
      </c>
      <c r="I25" s="38" t="s">
        <v>419</v>
      </c>
      <c r="J25" s="61" t="s">
        <v>1110</v>
      </c>
      <c r="K25" s="61" t="s">
        <v>1111</v>
      </c>
      <c r="L25" s="61" t="s">
        <v>1112</v>
      </c>
      <c r="M25" s="61" t="s">
        <v>1113</v>
      </c>
      <c r="N25" s="61"/>
      <c r="O25" s="61" t="s">
        <v>1114</v>
      </c>
      <c r="P25" s="61" t="s">
        <v>1115</v>
      </c>
      <c r="Q25" s="61" t="s">
        <v>1116</v>
      </c>
      <c r="R25" s="61" t="s">
        <v>1117</v>
      </c>
      <c r="S25" s="61" t="s">
        <v>1118</v>
      </c>
      <c r="T25" s="61" t="s">
        <v>1119</v>
      </c>
      <c r="U25" s="61" t="s">
        <v>1120</v>
      </c>
      <c r="V25" s="62" t="s">
        <v>1121</v>
      </c>
      <c r="W25" s="61" t="s">
        <v>1122</v>
      </c>
      <c r="X25" s="61" t="s">
        <v>1123</v>
      </c>
      <c r="Y25" s="61" t="s">
        <v>1124</v>
      </c>
      <c r="Z25" s="61" t="s">
        <v>1125</v>
      </c>
      <c r="AA25" s="61" t="s">
        <v>1126</v>
      </c>
      <c r="AB25" s="63" t="s">
        <v>1127</v>
      </c>
    </row>
    <row r="26" spans="1:28" x14ac:dyDescent="0.25">
      <c r="A26" s="9" t="s">
        <v>434</v>
      </c>
      <c r="B26" s="9" t="str">
        <f t="shared" si="4"/>
        <v>Endokrines System/Stoffwechsel</v>
      </c>
      <c r="C26" s="9" t="str">
        <f t="shared" si="5"/>
        <v>Grundlagenforschung: Endokrines System/Stoffwechsel [PB10]</v>
      </c>
      <c r="D26" s="60" t="s">
        <v>839</v>
      </c>
      <c r="E26" s="61" t="s">
        <v>840</v>
      </c>
      <c r="F26" s="62" t="s">
        <v>841</v>
      </c>
      <c r="G26" s="61" t="s">
        <v>842</v>
      </c>
      <c r="H26" s="61" t="s">
        <v>843</v>
      </c>
      <c r="I26" s="38" t="s">
        <v>420</v>
      </c>
      <c r="J26" s="61" t="s">
        <v>1128</v>
      </c>
      <c r="K26" s="61" t="s">
        <v>1129</v>
      </c>
      <c r="L26" s="61" t="s">
        <v>1130</v>
      </c>
      <c r="M26" s="61" t="s">
        <v>1131</v>
      </c>
      <c r="N26" s="61"/>
      <c r="O26" s="61" t="s">
        <v>1132</v>
      </c>
      <c r="P26" s="61" t="s">
        <v>1133</v>
      </c>
      <c r="Q26" s="61" t="s">
        <v>1134</v>
      </c>
      <c r="R26" s="61" t="s">
        <v>1135</v>
      </c>
      <c r="S26" s="61" t="s">
        <v>1136</v>
      </c>
      <c r="T26" s="61" t="s">
        <v>1137</v>
      </c>
      <c r="U26" s="61" t="s">
        <v>1138</v>
      </c>
      <c r="V26" s="62" t="s">
        <v>1139</v>
      </c>
      <c r="W26" s="61" t="s">
        <v>1140</v>
      </c>
      <c r="X26" s="61" t="s">
        <v>1141</v>
      </c>
      <c r="Y26" s="61" t="s">
        <v>1142</v>
      </c>
      <c r="Z26" s="61" t="s">
        <v>1143</v>
      </c>
      <c r="AA26" s="61" t="s">
        <v>1144</v>
      </c>
      <c r="AB26" s="63" t="s">
        <v>1145</v>
      </c>
    </row>
    <row r="27" spans="1:28" x14ac:dyDescent="0.25">
      <c r="A27" s="44" t="s">
        <v>438</v>
      </c>
      <c r="B27" s="9" t="str">
        <f t="shared" si="4"/>
        <v>Entwicklungsbiologie</v>
      </c>
      <c r="C27" s="9" t="str">
        <f t="shared" si="5"/>
        <v>Grundlagenforschung: Entwicklungsbiologie [PB14]</v>
      </c>
      <c r="D27" s="60" t="s">
        <v>844</v>
      </c>
      <c r="E27" s="61" t="s">
        <v>845</v>
      </c>
      <c r="F27" s="62" t="s">
        <v>846</v>
      </c>
      <c r="G27" s="61" t="s">
        <v>847</v>
      </c>
      <c r="H27" s="61" t="s">
        <v>848</v>
      </c>
      <c r="I27" s="38" t="s">
        <v>421</v>
      </c>
      <c r="J27" s="61" t="s">
        <v>1146</v>
      </c>
      <c r="K27" s="61" t="s">
        <v>1147</v>
      </c>
      <c r="L27" s="61" t="s">
        <v>1148</v>
      </c>
      <c r="M27" s="61" t="s">
        <v>1149</v>
      </c>
      <c r="N27" s="61"/>
      <c r="O27" s="61" t="s">
        <v>1150</v>
      </c>
      <c r="P27" s="61" t="s">
        <v>1151</v>
      </c>
      <c r="Q27" s="61" t="s">
        <v>1152</v>
      </c>
      <c r="R27" s="61" t="s">
        <v>1153</v>
      </c>
      <c r="S27" s="61" t="s">
        <v>1154</v>
      </c>
      <c r="T27" s="61" t="s">
        <v>1155</v>
      </c>
      <c r="U27" s="61" t="s">
        <v>1156</v>
      </c>
      <c r="V27" s="62" t="s">
        <v>1157</v>
      </c>
      <c r="W27" s="61" t="s">
        <v>1158</v>
      </c>
      <c r="X27" s="61" t="s">
        <v>1159</v>
      </c>
      <c r="Y27" s="61" t="s">
        <v>1160</v>
      </c>
      <c r="Z27" s="61" t="s">
        <v>1150</v>
      </c>
      <c r="AA27" s="61" t="s">
        <v>1161</v>
      </c>
      <c r="AB27" s="63" t="s">
        <v>1162</v>
      </c>
    </row>
    <row r="28" spans="1:28" x14ac:dyDescent="0.25">
      <c r="A28" s="9" t="s">
        <v>435</v>
      </c>
      <c r="B28" s="9" t="str">
        <f t="shared" si="4"/>
        <v>Multisystemisch</v>
      </c>
      <c r="C28" s="9" t="str">
        <f t="shared" si="5"/>
        <v>Grundlagenforschung: Multisystemisch [PB11]</v>
      </c>
      <c r="D28" s="60" t="s">
        <v>849</v>
      </c>
      <c r="E28" s="61" t="s">
        <v>850</v>
      </c>
      <c r="F28" s="62" t="s">
        <v>851</v>
      </c>
      <c r="G28" s="61" t="s">
        <v>852</v>
      </c>
      <c r="H28" s="61" t="s">
        <v>853</v>
      </c>
      <c r="I28" s="38" t="s">
        <v>422</v>
      </c>
      <c r="J28" s="61" t="s">
        <v>1163</v>
      </c>
      <c r="K28" s="61" t="s">
        <v>1164</v>
      </c>
      <c r="L28" s="61" t="s">
        <v>1165</v>
      </c>
      <c r="M28" s="61" t="s">
        <v>1166</v>
      </c>
      <c r="N28" s="61"/>
      <c r="O28" s="61" t="s">
        <v>1167</v>
      </c>
      <c r="P28" s="61" t="s">
        <v>1168</v>
      </c>
      <c r="Q28" s="61" t="s">
        <v>1169</v>
      </c>
      <c r="R28" s="61" t="s">
        <v>1170</v>
      </c>
      <c r="S28" s="61" t="s">
        <v>1171</v>
      </c>
      <c r="T28" s="61" t="s">
        <v>1172</v>
      </c>
      <c r="U28" s="61" t="s">
        <v>852</v>
      </c>
      <c r="V28" s="62" t="s">
        <v>1173</v>
      </c>
      <c r="W28" s="61" t="s">
        <v>1174</v>
      </c>
      <c r="X28" s="61" t="s">
        <v>1175</v>
      </c>
      <c r="Y28" s="61" t="s">
        <v>1176</v>
      </c>
      <c r="Z28" s="61" t="s">
        <v>1177</v>
      </c>
      <c r="AA28" s="61" t="s">
        <v>1178</v>
      </c>
      <c r="AB28" s="63" t="s">
        <v>851</v>
      </c>
    </row>
    <row r="29" spans="1:28" x14ac:dyDescent="0.25">
      <c r="A29" s="9" t="s">
        <v>436</v>
      </c>
      <c r="B29" s="9" t="str">
        <f t="shared" si="4"/>
        <v>Ethologie/Tierverhalten/Tierbiologie</v>
      </c>
      <c r="C29" s="9" t="str">
        <f t="shared" si="5"/>
        <v>Grundlagenforschung: Ethologie/Tierverhalten/Tierbiologie [PB12]</v>
      </c>
      <c r="D29" s="60" t="s">
        <v>854</v>
      </c>
      <c r="E29" s="61" t="s">
        <v>855</v>
      </c>
      <c r="F29" s="62" t="s">
        <v>856</v>
      </c>
      <c r="G29" s="61" t="s">
        <v>857</v>
      </c>
      <c r="H29" s="61" t="s">
        <v>858</v>
      </c>
      <c r="I29" s="38" t="s">
        <v>423</v>
      </c>
      <c r="J29" s="61" t="s">
        <v>1179</v>
      </c>
      <c r="K29" s="61" t="s">
        <v>1180</v>
      </c>
      <c r="L29" s="61" t="s">
        <v>1181</v>
      </c>
      <c r="M29" s="61" t="s">
        <v>1182</v>
      </c>
      <c r="N29" s="61"/>
      <c r="O29" s="61" t="s">
        <v>1183</v>
      </c>
      <c r="P29" s="61" t="s">
        <v>1184</v>
      </c>
      <c r="Q29" s="61" t="s">
        <v>1185</v>
      </c>
      <c r="R29" s="61" t="s">
        <v>1186</v>
      </c>
      <c r="S29" s="61" t="s">
        <v>1187</v>
      </c>
      <c r="T29" s="61" t="s">
        <v>1188</v>
      </c>
      <c r="U29" s="61" t="s">
        <v>1189</v>
      </c>
      <c r="V29" s="62" t="s">
        <v>1190</v>
      </c>
      <c r="W29" s="61" t="s">
        <v>1191</v>
      </c>
      <c r="X29" s="61" t="s">
        <v>1192</v>
      </c>
      <c r="Y29" s="61" t="s">
        <v>1193</v>
      </c>
      <c r="Z29" s="61" t="s">
        <v>1194</v>
      </c>
      <c r="AA29" s="61" t="s">
        <v>1195</v>
      </c>
      <c r="AB29" s="63" t="s">
        <v>1196</v>
      </c>
    </row>
    <row r="30" spans="1:28" x14ac:dyDescent="0.25">
      <c r="A30" s="9" t="s">
        <v>437</v>
      </c>
      <c r="B30" s="9" t="str">
        <f t="shared" si="4"/>
        <v>Andere Grundlagenforschung</v>
      </c>
      <c r="C30" s="9" t="str">
        <f t="shared" si="5"/>
        <v>Grundlagenforschung: Andere Grundlagenforschung [PB13]</v>
      </c>
      <c r="D30" s="60" t="s">
        <v>859</v>
      </c>
      <c r="E30" s="61" t="s">
        <v>860</v>
      </c>
      <c r="F30" s="62" t="s">
        <v>861</v>
      </c>
      <c r="G30" s="61" t="s">
        <v>862</v>
      </c>
      <c r="H30" s="61" t="s">
        <v>863</v>
      </c>
      <c r="I30" s="38" t="s">
        <v>424</v>
      </c>
      <c r="J30" s="61" t="s">
        <v>1197</v>
      </c>
      <c r="K30" s="61" t="s">
        <v>1198</v>
      </c>
      <c r="L30" s="61" t="s">
        <v>1199</v>
      </c>
      <c r="M30" s="61" t="s">
        <v>1200</v>
      </c>
      <c r="N30" s="61"/>
      <c r="O30" s="61" t="s">
        <v>1201</v>
      </c>
      <c r="P30" s="61" t="s">
        <v>1202</v>
      </c>
      <c r="Q30" s="61" t="s">
        <v>1203</v>
      </c>
      <c r="R30" s="61" t="s">
        <v>1204</v>
      </c>
      <c r="S30" s="61" t="s">
        <v>1205</v>
      </c>
      <c r="T30" s="61" t="s">
        <v>1206</v>
      </c>
      <c r="U30" s="61" t="s">
        <v>1207</v>
      </c>
      <c r="V30" s="62" t="s">
        <v>1208</v>
      </c>
      <c r="W30" s="61" t="s">
        <v>1209</v>
      </c>
      <c r="X30" s="61" t="s">
        <v>1210</v>
      </c>
      <c r="Y30" s="61" t="s">
        <v>1211</v>
      </c>
      <c r="Z30" s="61" t="s">
        <v>1212</v>
      </c>
      <c r="AA30" s="61" t="s">
        <v>1213</v>
      </c>
      <c r="AB30" s="63" t="s">
        <v>1214</v>
      </c>
    </row>
    <row r="31" spans="1:28" x14ac:dyDescent="0.25">
      <c r="A31" s="9" t="s">
        <v>457</v>
      </c>
      <c r="B31" s="9" t="str">
        <f t="shared" si="4"/>
        <v>Krebserkrankungen des Menschen</v>
      </c>
      <c r="C31" s="9" t="str">
        <f>CONCATENATE(B$6,": ",B31," [",A31,"]")</f>
        <v>Translationale und angewandte Forschung: Krebserkrankungen des Menschen [PT21]</v>
      </c>
      <c r="D31" s="60" t="s">
        <v>864</v>
      </c>
      <c r="E31" s="61" t="s">
        <v>865</v>
      </c>
      <c r="F31" s="62" t="s">
        <v>866</v>
      </c>
      <c r="G31" s="61" t="s">
        <v>867</v>
      </c>
      <c r="H31" s="61" t="s">
        <v>868</v>
      </c>
      <c r="I31" s="38" t="s">
        <v>439</v>
      </c>
      <c r="J31" s="61" t="s">
        <v>1215</v>
      </c>
      <c r="K31" s="61" t="s">
        <v>1216</v>
      </c>
      <c r="L31" s="61" t="s">
        <v>1217</v>
      </c>
      <c r="M31" s="61" t="s">
        <v>1218</v>
      </c>
      <c r="N31" s="61"/>
      <c r="O31" s="61" t="s">
        <v>1219</v>
      </c>
      <c r="P31" s="61" t="s">
        <v>1220</v>
      </c>
      <c r="Q31" s="61" t="s">
        <v>1221</v>
      </c>
      <c r="R31" s="61" t="s">
        <v>1222</v>
      </c>
      <c r="S31" s="61" t="s">
        <v>1223</v>
      </c>
      <c r="T31" s="61" t="s">
        <v>1224</v>
      </c>
      <c r="U31" s="61" t="s">
        <v>1225</v>
      </c>
      <c r="V31" s="62" t="s">
        <v>1226</v>
      </c>
      <c r="W31" s="61" t="s">
        <v>1227</v>
      </c>
      <c r="X31" s="61" t="s">
        <v>1228</v>
      </c>
      <c r="Y31" s="61" t="s">
        <v>1229</v>
      </c>
      <c r="Z31" s="61" t="s">
        <v>1230</v>
      </c>
      <c r="AA31" s="61" t="s">
        <v>1231</v>
      </c>
      <c r="AB31" s="63" t="s">
        <v>1232</v>
      </c>
    </row>
    <row r="32" spans="1:28" x14ac:dyDescent="0.25">
      <c r="A32" s="9" t="s">
        <v>458</v>
      </c>
      <c r="B32" s="9" t="str">
        <f t="shared" si="4"/>
        <v>Infektionskrankheiten des Menschen</v>
      </c>
      <c r="C32" s="9" t="str">
        <f t="shared" ref="C32:C48" si="6">CONCATENATE(B$6,": ",B32," [",A32,"]")</f>
        <v>Translationale und angewandte Forschung: Infektionskrankheiten des Menschen [PT22]</v>
      </c>
      <c r="D32" s="60" t="s">
        <v>869</v>
      </c>
      <c r="E32" s="61" t="s">
        <v>870</v>
      </c>
      <c r="F32" s="62" t="s">
        <v>871</v>
      </c>
      <c r="G32" s="61" t="s">
        <v>872</v>
      </c>
      <c r="H32" s="61" t="s">
        <v>873</v>
      </c>
      <c r="I32" s="38" t="s">
        <v>440</v>
      </c>
      <c r="J32" s="61" t="s">
        <v>1233</v>
      </c>
      <c r="K32" s="61" t="s">
        <v>1234</v>
      </c>
      <c r="L32" s="61" t="s">
        <v>1235</v>
      </c>
      <c r="M32" s="61" t="s">
        <v>1236</v>
      </c>
      <c r="N32" s="61"/>
      <c r="O32" s="61" t="s">
        <v>1237</v>
      </c>
      <c r="P32" s="61" t="s">
        <v>1238</v>
      </c>
      <c r="Q32" s="61" t="s">
        <v>1239</v>
      </c>
      <c r="R32" s="61" t="s">
        <v>1240</v>
      </c>
      <c r="S32" s="61" t="s">
        <v>1241</v>
      </c>
      <c r="T32" s="61" t="s">
        <v>1242</v>
      </c>
      <c r="U32" s="61" t="s">
        <v>1243</v>
      </c>
      <c r="V32" s="62" t="s">
        <v>1244</v>
      </c>
      <c r="W32" s="61" t="s">
        <v>1245</v>
      </c>
      <c r="X32" s="61" t="s">
        <v>1246</v>
      </c>
      <c r="Y32" s="61" t="s">
        <v>1247</v>
      </c>
      <c r="Z32" s="61" t="s">
        <v>1248</v>
      </c>
      <c r="AA32" s="61" t="s">
        <v>1249</v>
      </c>
      <c r="AB32" s="63" t="s">
        <v>1250</v>
      </c>
    </row>
    <row r="33" spans="1:28" x14ac:dyDescent="0.25">
      <c r="A33" s="9" t="s">
        <v>459</v>
      </c>
      <c r="B33" s="9" t="str">
        <f t="shared" si="4"/>
        <v>Kardiovaskuläre Erkrankungen des Menschen</v>
      </c>
      <c r="C33" s="9" t="str">
        <f t="shared" si="6"/>
        <v>Translationale und angewandte Forschung: Kardiovaskuläre Erkrankungen des Menschen [PT23]</v>
      </c>
      <c r="D33" s="60" t="s">
        <v>874</v>
      </c>
      <c r="E33" s="61" t="s">
        <v>875</v>
      </c>
      <c r="F33" s="62" t="s">
        <v>876</v>
      </c>
      <c r="G33" s="61" t="s">
        <v>877</v>
      </c>
      <c r="H33" s="61" t="s">
        <v>878</v>
      </c>
      <c r="I33" s="38" t="s">
        <v>441</v>
      </c>
      <c r="J33" s="61" t="s">
        <v>1251</v>
      </c>
      <c r="K33" s="61" t="s">
        <v>1252</v>
      </c>
      <c r="L33" s="61" t="s">
        <v>1253</v>
      </c>
      <c r="M33" s="61" t="s">
        <v>1254</v>
      </c>
      <c r="N33" s="61"/>
      <c r="O33" s="61" t="s">
        <v>1255</v>
      </c>
      <c r="P33" s="61" t="s">
        <v>1256</v>
      </c>
      <c r="Q33" s="61" t="s">
        <v>1257</v>
      </c>
      <c r="R33" s="61" t="s">
        <v>1258</v>
      </c>
      <c r="S33" s="61" t="s">
        <v>1259</v>
      </c>
      <c r="T33" s="61" t="s">
        <v>1260</v>
      </c>
      <c r="U33" s="61" t="s">
        <v>1261</v>
      </c>
      <c r="V33" s="62" t="s">
        <v>1262</v>
      </c>
      <c r="W33" s="61" t="s">
        <v>1263</v>
      </c>
      <c r="X33" s="61" t="s">
        <v>1264</v>
      </c>
      <c r="Y33" s="61" t="s">
        <v>1265</v>
      </c>
      <c r="Z33" s="61" t="s">
        <v>1266</v>
      </c>
      <c r="AA33" s="61" t="s">
        <v>1267</v>
      </c>
      <c r="AB33" s="63" t="s">
        <v>1268</v>
      </c>
    </row>
    <row r="34" spans="1:28" x14ac:dyDescent="0.25">
      <c r="A34" s="9" t="s">
        <v>460</v>
      </c>
      <c r="B34" s="9" t="str">
        <f t="shared" si="4"/>
        <v>Nerven- und Geisteserkrankungen des Menschen</v>
      </c>
      <c r="C34" s="9" t="str">
        <f t="shared" si="6"/>
        <v>Translationale und angewandte Forschung: Nerven- und Geisteserkrankungen des Menschen [PT24]</v>
      </c>
      <c r="D34" s="60" t="s">
        <v>879</v>
      </c>
      <c r="E34" s="61" t="s">
        <v>880</v>
      </c>
      <c r="F34" s="62" t="s">
        <v>881</v>
      </c>
      <c r="G34" s="61" t="s">
        <v>882</v>
      </c>
      <c r="H34" s="61" t="s">
        <v>883</v>
      </c>
      <c r="I34" s="38" t="s">
        <v>442</v>
      </c>
      <c r="J34" s="61" t="s">
        <v>1269</v>
      </c>
      <c r="K34" s="61" t="s">
        <v>1270</v>
      </c>
      <c r="L34" s="61" t="s">
        <v>1271</v>
      </c>
      <c r="M34" s="61" t="s">
        <v>1272</v>
      </c>
      <c r="N34" s="61"/>
      <c r="O34" s="61" t="s">
        <v>1273</v>
      </c>
      <c r="P34" s="61" t="s">
        <v>1274</v>
      </c>
      <c r="Q34" s="61" t="s">
        <v>1275</v>
      </c>
      <c r="R34" s="61" t="s">
        <v>1276</v>
      </c>
      <c r="S34" s="61" t="s">
        <v>1277</v>
      </c>
      <c r="T34" s="61" t="s">
        <v>1278</v>
      </c>
      <c r="U34" s="61" t="s">
        <v>1279</v>
      </c>
      <c r="V34" s="62" t="s">
        <v>1280</v>
      </c>
      <c r="W34" s="61" t="s">
        <v>1281</v>
      </c>
      <c r="X34" s="61" t="s">
        <v>1282</v>
      </c>
      <c r="Y34" s="61" t="s">
        <v>1283</v>
      </c>
      <c r="Z34" s="61" t="s">
        <v>1284</v>
      </c>
      <c r="AA34" s="61" t="s">
        <v>1285</v>
      </c>
      <c r="AB34" s="63" t="s">
        <v>1286</v>
      </c>
    </row>
    <row r="35" spans="1:28" x14ac:dyDescent="0.25">
      <c r="A35" s="9" t="s">
        <v>461</v>
      </c>
      <c r="B35" s="9" t="str">
        <f t="shared" si="4"/>
        <v>Atemwegserkrankungen des Menschen</v>
      </c>
      <c r="C35" s="9" t="str">
        <f t="shared" si="6"/>
        <v>Translationale und angewandte Forschung: Atemwegserkrankungen des Menschen [PT25]</v>
      </c>
      <c r="D35" s="60" t="s">
        <v>884</v>
      </c>
      <c r="E35" s="61" t="s">
        <v>885</v>
      </c>
      <c r="F35" s="62" t="s">
        <v>886</v>
      </c>
      <c r="G35" s="61" t="s">
        <v>887</v>
      </c>
      <c r="H35" s="61" t="s">
        <v>888</v>
      </c>
      <c r="I35" s="38" t="s">
        <v>443</v>
      </c>
      <c r="J35" s="61" t="s">
        <v>1287</v>
      </c>
      <c r="K35" s="61" t="s">
        <v>1288</v>
      </c>
      <c r="L35" s="61" t="s">
        <v>1289</v>
      </c>
      <c r="M35" s="61" t="s">
        <v>1290</v>
      </c>
      <c r="N35" s="61"/>
      <c r="O35" s="61" t="s">
        <v>1291</v>
      </c>
      <c r="P35" s="61" t="s">
        <v>1292</v>
      </c>
      <c r="Q35" s="61" t="s">
        <v>1293</v>
      </c>
      <c r="R35" s="61" t="s">
        <v>1294</v>
      </c>
      <c r="S35" s="61" t="s">
        <v>1295</v>
      </c>
      <c r="T35" s="61" t="s">
        <v>1296</v>
      </c>
      <c r="U35" s="61" t="s">
        <v>1297</v>
      </c>
      <c r="V35" s="62" t="s">
        <v>1298</v>
      </c>
      <c r="W35" s="61" t="s">
        <v>1299</v>
      </c>
      <c r="X35" s="61" t="s">
        <v>1300</v>
      </c>
      <c r="Y35" s="61" t="s">
        <v>1301</v>
      </c>
      <c r="Z35" s="61" t="s">
        <v>1302</v>
      </c>
      <c r="AA35" s="61" t="s">
        <v>1303</v>
      </c>
      <c r="AB35" s="63" t="s">
        <v>1304</v>
      </c>
    </row>
    <row r="36" spans="1:28" x14ac:dyDescent="0.25">
      <c r="A36" s="9" t="s">
        <v>462</v>
      </c>
      <c r="B36" s="9" t="str">
        <f t="shared" si="4"/>
        <v>Gastrointestinale Erkrankungen des Menschen, einschließlich der Leber</v>
      </c>
      <c r="C36" s="9" t="str">
        <f t="shared" si="6"/>
        <v>Translationale und angewandte Forschung: Gastrointestinale Erkrankungen des Menschen, einschließlich der Leber [PT26]</v>
      </c>
      <c r="D36" s="60" t="s">
        <v>889</v>
      </c>
      <c r="E36" s="61" t="s">
        <v>890</v>
      </c>
      <c r="F36" s="62" t="s">
        <v>891</v>
      </c>
      <c r="G36" s="61" t="s">
        <v>892</v>
      </c>
      <c r="H36" s="61" t="s">
        <v>893</v>
      </c>
      <c r="I36" s="38" t="s">
        <v>444</v>
      </c>
      <c r="J36" s="61" t="s">
        <v>1305</v>
      </c>
      <c r="K36" s="61" t="s">
        <v>1306</v>
      </c>
      <c r="L36" s="61" t="s">
        <v>1307</v>
      </c>
      <c r="M36" s="61" t="s">
        <v>1308</v>
      </c>
      <c r="N36" s="61"/>
      <c r="O36" s="61" t="s">
        <v>1309</v>
      </c>
      <c r="P36" s="61" t="s">
        <v>1310</v>
      </c>
      <c r="Q36" s="61" t="s">
        <v>1311</v>
      </c>
      <c r="R36" s="61" t="s">
        <v>1312</v>
      </c>
      <c r="S36" s="61" t="s">
        <v>1313</v>
      </c>
      <c r="T36" s="61" t="s">
        <v>1314</v>
      </c>
      <c r="U36" s="61" t="s">
        <v>1315</v>
      </c>
      <c r="V36" s="62" t="s">
        <v>1316</v>
      </c>
      <c r="W36" s="61" t="s">
        <v>1317</v>
      </c>
      <c r="X36" s="61" t="s">
        <v>1318</v>
      </c>
      <c r="Y36" s="61" t="s">
        <v>1319</v>
      </c>
      <c r="Z36" s="61" t="s">
        <v>1320</v>
      </c>
      <c r="AA36" s="61" t="s">
        <v>1321</v>
      </c>
      <c r="AB36" s="63" t="s">
        <v>1322</v>
      </c>
    </row>
    <row r="37" spans="1:28" x14ac:dyDescent="0.25">
      <c r="A37" s="9" t="s">
        <v>463</v>
      </c>
      <c r="B37" s="9" t="str">
        <f t="shared" si="4"/>
        <v>Muskuloskelettale Erkrankungen des Menschen</v>
      </c>
      <c r="C37" s="9" t="str">
        <f t="shared" si="6"/>
        <v>Translationale und angewandte Forschung: Muskuloskelettale Erkrankungen des Menschen [PT27]</v>
      </c>
      <c r="D37" s="60" t="s">
        <v>894</v>
      </c>
      <c r="E37" s="61" t="s">
        <v>895</v>
      </c>
      <c r="F37" s="62" t="s">
        <v>896</v>
      </c>
      <c r="G37" s="61" t="s">
        <v>897</v>
      </c>
      <c r="H37" s="61" t="s">
        <v>898</v>
      </c>
      <c r="I37" s="38" t="s">
        <v>445</v>
      </c>
      <c r="J37" s="61" t="s">
        <v>1323</v>
      </c>
      <c r="K37" s="61" t="s">
        <v>1324</v>
      </c>
      <c r="L37" s="61" t="s">
        <v>1325</v>
      </c>
      <c r="M37" s="61" t="s">
        <v>1326</v>
      </c>
      <c r="N37" s="61"/>
      <c r="O37" s="61" t="s">
        <v>1327</v>
      </c>
      <c r="P37" s="61" t="s">
        <v>1328</v>
      </c>
      <c r="Q37" s="61" t="s">
        <v>1329</v>
      </c>
      <c r="R37" s="61" t="s">
        <v>1330</v>
      </c>
      <c r="S37" s="61" t="s">
        <v>1331</v>
      </c>
      <c r="T37" s="61" t="s">
        <v>1332</v>
      </c>
      <c r="U37" s="61" t="s">
        <v>1333</v>
      </c>
      <c r="V37" s="62" t="s">
        <v>1334</v>
      </c>
      <c r="W37" s="61" t="s">
        <v>1335</v>
      </c>
      <c r="X37" s="61" t="s">
        <v>1336</v>
      </c>
      <c r="Y37" s="61" t="s">
        <v>1337</v>
      </c>
      <c r="Z37" s="61" t="s">
        <v>1338</v>
      </c>
      <c r="AA37" s="61" t="s">
        <v>1339</v>
      </c>
      <c r="AB37" s="63" t="s">
        <v>1340</v>
      </c>
    </row>
    <row r="38" spans="1:28" x14ac:dyDescent="0.25">
      <c r="A38" s="9" t="s">
        <v>464</v>
      </c>
      <c r="B38" s="9" t="str">
        <f t="shared" si="4"/>
        <v>Immunerkrankungen des Menschen</v>
      </c>
      <c r="C38" s="9" t="str">
        <f t="shared" si="6"/>
        <v>Translationale und angewandte Forschung: Immunerkrankungen des Menschen [PT28]</v>
      </c>
      <c r="D38" s="60" t="s">
        <v>899</v>
      </c>
      <c r="E38" s="61" t="s">
        <v>900</v>
      </c>
      <c r="F38" s="62" t="s">
        <v>901</v>
      </c>
      <c r="G38" s="61" t="s">
        <v>902</v>
      </c>
      <c r="H38" s="61" t="s">
        <v>903</v>
      </c>
      <c r="I38" s="38" t="s">
        <v>446</v>
      </c>
      <c r="J38" s="61" t="s">
        <v>1341</v>
      </c>
      <c r="K38" s="61" t="s">
        <v>1342</v>
      </c>
      <c r="L38" s="61" t="s">
        <v>1343</v>
      </c>
      <c r="M38" s="61" t="s">
        <v>1344</v>
      </c>
      <c r="N38" s="61"/>
      <c r="O38" s="61" t="s">
        <v>1345</v>
      </c>
      <c r="P38" s="61" t="s">
        <v>1346</v>
      </c>
      <c r="Q38" s="61" t="s">
        <v>1347</v>
      </c>
      <c r="R38" s="61" t="s">
        <v>1348</v>
      </c>
      <c r="S38" s="61" t="s">
        <v>1349</v>
      </c>
      <c r="T38" s="61" t="s">
        <v>1350</v>
      </c>
      <c r="U38" s="61" t="s">
        <v>1351</v>
      </c>
      <c r="V38" s="62" t="s">
        <v>1352</v>
      </c>
      <c r="W38" s="61" t="s">
        <v>1353</v>
      </c>
      <c r="X38" s="61" t="s">
        <v>1354</v>
      </c>
      <c r="Y38" s="61" t="s">
        <v>1355</v>
      </c>
      <c r="Z38" s="61" t="s">
        <v>1356</v>
      </c>
      <c r="AA38" s="61" t="s">
        <v>1357</v>
      </c>
      <c r="AB38" s="63" t="s">
        <v>1358</v>
      </c>
    </row>
    <row r="39" spans="1:28" x14ac:dyDescent="0.25">
      <c r="A39" s="9" t="s">
        <v>465</v>
      </c>
      <c r="B39" s="9" t="str">
        <f t="shared" si="4"/>
        <v>Erkrankungen des urogenitalen/des Fortpflanzungssystems des Menschen</v>
      </c>
      <c r="C39" s="9" t="str">
        <f t="shared" si="6"/>
        <v>Translationale und angewandte Forschung: Erkrankungen des urogenitalen/des Fortpflanzungssystems des Menschen [PT29]</v>
      </c>
      <c r="D39" s="60" t="s">
        <v>904</v>
      </c>
      <c r="E39" s="61" t="s">
        <v>905</v>
      </c>
      <c r="F39" s="62" t="s">
        <v>906</v>
      </c>
      <c r="G39" s="61" t="s">
        <v>907</v>
      </c>
      <c r="H39" s="61" t="s">
        <v>908</v>
      </c>
      <c r="I39" s="38" t="s">
        <v>447</v>
      </c>
      <c r="J39" s="61" t="s">
        <v>1359</v>
      </c>
      <c r="K39" s="61" t="s">
        <v>1360</v>
      </c>
      <c r="L39" s="61" t="s">
        <v>1361</v>
      </c>
      <c r="M39" s="61" t="s">
        <v>1362</v>
      </c>
      <c r="N39" s="61"/>
      <c r="O39" s="61" t="s">
        <v>1363</v>
      </c>
      <c r="P39" s="61" t="s">
        <v>1364</v>
      </c>
      <c r="Q39" s="61" t="s">
        <v>1365</v>
      </c>
      <c r="R39" s="61" t="s">
        <v>1366</v>
      </c>
      <c r="S39" s="61" t="s">
        <v>1367</v>
      </c>
      <c r="T39" s="61" t="s">
        <v>1368</v>
      </c>
      <c r="U39" s="61" t="s">
        <v>1369</v>
      </c>
      <c r="V39" s="62" t="s">
        <v>1370</v>
      </c>
      <c r="W39" s="61" t="s">
        <v>1371</v>
      </c>
      <c r="X39" s="61" t="s">
        <v>1372</v>
      </c>
      <c r="Y39" s="61" t="s">
        <v>1373</v>
      </c>
      <c r="Z39" s="61" t="s">
        <v>1374</v>
      </c>
      <c r="AA39" s="61" t="s">
        <v>1375</v>
      </c>
      <c r="AB39" s="63" t="s">
        <v>1376</v>
      </c>
    </row>
    <row r="40" spans="1:28" x14ac:dyDescent="0.25">
      <c r="A40" s="9" t="s">
        <v>466</v>
      </c>
      <c r="B40" s="9" t="str">
        <f t="shared" si="4"/>
        <v>Erkrankungen der Sinnesorgane des Menschen (Haut, Augen und Ohren)</v>
      </c>
      <c r="C40" s="9" t="str">
        <f t="shared" si="6"/>
        <v>Translationale und angewandte Forschung: Erkrankungen der Sinnesorgane des Menschen (Haut, Augen und Ohren) [PT30]</v>
      </c>
      <c r="D40" s="60" t="s">
        <v>909</v>
      </c>
      <c r="E40" s="61" t="s">
        <v>910</v>
      </c>
      <c r="F40" s="62" t="s">
        <v>911</v>
      </c>
      <c r="G40" s="61" t="s">
        <v>912</v>
      </c>
      <c r="H40" s="61" t="s">
        <v>913</v>
      </c>
      <c r="I40" s="38" t="s">
        <v>448</v>
      </c>
      <c r="J40" s="61" t="s">
        <v>1377</v>
      </c>
      <c r="K40" s="61" t="s">
        <v>1378</v>
      </c>
      <c r="L40" s="61" t="s">
        <v>1379</v>
      </c>
      <c r="M40" s="61" t="s">
        <v>1380</v>
      </c>
      <c r="N40" s="61"/>
      <c r="O40" s="61" t="s">
        <v>1381</v>
      </c>
      <c r="P40" s="61" t="s">
        <v>1382</v>
      </c>
      <c r="Q40" s="61" t="s">
        <v>1383</v>
      </c>
      <c r="R40" s="61" t="s">
        <v>1384</v>
      </c>
      <c r="S40" s="61" t="s">
        <v>1385</v>
      </c>
      <c r="T40" s="61" t="s">
        <v>1386</v>
      </c>
      <c r="U40" s="61" t="s">
        <v>1387</v>
      </c>
      <c r="V40" s="62" t="s">
        <v>1388</v>
      </c>
      <c r="W40" s="61" t="s">
        <v>1389</v>
      </c>
      <c r="X40" s="61" t="s">
        <v>1390</v>
      </c>
      <c r="Y40" s="61" t="s">
        <v>1391</v>
      </c>
      <c r="Z40" s="61" t="s">
        <v>1392</v>
      </c>
      <c r="AA40" s="61" t="s">
        <v>1393</v>
      </c>
      <c r="AB40" s="63" t="s">
        <v>1394</v>
      </c>
    </row>
    <row r="41" spans="1:28" x14ac:dyDescent="0.25">
      <c r="A41" s="9" t="s">
        <v>467</v>
      </c>
      <c r="B41" s="9" t="str">
        <f t="shared" si="4"/>
        <v>Erkrankungen des endokrinen Systems/des Stoffwechselsystems des Menschen</v>
      </c>
      <c r="C41" s="9" t="str">
        <f t="shared" si="6"/>
        <v>Translationale und angewandte Forschung: Erkrankungen des endokrinen Systems/des Stoffwechselsystems des Menschen [PT31]</v>
      </c>
      <c r="D41" s="60" t="s">
        <v>914</v>
      </c>
      <c r="E41" s="61" t="s">
        <v>915</v>
      </c>
      <c r="F41" s="62" t="s">
        <v>916</v>
      </c>
      <c r="G41" s="61" t="s">
        <v>917</v>
      </c>
      <c r="H41" s="61" t="s">
        <v>918</v>
      </c>
      <c r="I41" s="38" t="s">
        <v>449</v>
      </c>
      <c r="J41" s="61" t="s">
        <v>1395</v>
      </c>
      <c r="K41" s="61" t="s">
        <v>1396</v>
      </c>
      <c r="L41" s="61" t="s">
        <v>1397</v>
      </c>
      <c r="M41" s="61" t="s">
        <v>1398</v>
      </c>
      <c r="N41" s="61"/>
      <c r="O41" s="61" t="s">
        <v>1399</v>
      </c>
      <c r="P41" s="61" t="s">
        <v>1400</v>
      </c>
      <c r="Q41" s="61" t="s">
        <v>1401</v>
      </c>
      <c r="R41" s="61" t="s">
        <v>1402</v>
      </c>
      <c r="S41" s="61" t="s">
        <v>1403</v>
      </c>
      <c r="T41" s="61" t="s">
        <v>1404</v>
      </c>
      <c r="U41" s="61" t="s">
        <v>1405</v>
      </c>
      <c r="V41" s="62" t="s">
        <v>1406</v>
      </c>
      <c r="W41" s="61" t="s">
        <v>1407</v>
      </c>
      <c r="X41" s="61" t="s">
        <v>1408</v>
      </c>
      <c r="Y41" s="61" t="s">
        <v>1409</v>
      </c>
      <c r="Z41" s="61" t="s">
        <v>1410</v>
      </c>
      <c r="AA41" s="61" t="s">
        <v>1411</v>
      </c>
      <c r="AB41" s="63" t="s">
        <v>1412</v>
      </c>
    </row>
    <row r="42" spans="1:28" x14ac:dyDescent="0.25">
      <c r="A42" s="9" t="s">
        <v>468</v>
      </c>
      <c r="B42" s="9" t="str">
        <f t="shared" si="4"/>
        <v>Andere Humanerkrankungen</v>
      </c>
      <c r="C42" s="9" t="str">
        <f t="shared" si="6"/>
        <v>Translationale und angewandte Forschung: Andere Humanerkrankungen [PT32]</v>
      </c>
      <c r="D42" s="60" t="s">
        <v>919</v>
      </c>
      <c r="E42" s="61" t="s">
        <v>920</v>
      </c>
      <c r="F42" s="62" t="s">
        <v>921</v>
      </c>
      <c r="G42" s="61" t="s">
        <v>922</v>
      </c>
      <c r="H42" s="61" t="s">
        <v>923</v>
      </c>
      <c r="I42" s="38" t="s">
        <v>450</v>
      </c>
      <c r="J42" s="61" t="s">
        <v>1413</v>
      </c>
      <c r="K42" s="61" t="s">
        <v>1414</v>
      </c>
      <c r="L42" s="61" t="s">
        <v>1415</v>
      </c>
      <c r="M42" s="61" t="s">
        <v>1416</v>
      </c>
      <c r="N42" s="61"/>
      <c r="O42" s="61" t="s">
        <v>1417</v>
      </c>
      <c r="P42" s="61" t="s">
        <v>1418</v>
      </c>
      <c r="Q42" s="61" t="s">
        <v>1419</v>
      </c>
      <c r="R42" s="61" t="s">
        <v>1420</v>
      </c>
      <c r="S42" s="61" t="s">
        <v>1421</v>
      </c>
      <c r="T42" s="61" t="s">
        <v>1422</v>
      </c>
      <c r="U42" s="61" t="s">
        <v>1423</v>
      </c>
      <c r="V42" s="62" t="s">
        <v>1424</v>
      </c>
      <c r="W42" s="61" t="s">
        <v>1425</v>
      </c>
      <c r="X42" s="61" t="s">
        <v>1426</v>
      </c>
      <c r="Y42" s="61" t="s">
        <v>1427</v>
      </c>
      <c r="Z42" s="61" t="s">
        <v>1428</v>
      </c>
      <c r="AA42" s="61" t="s">
        <v>1429</v>
      </c>
      <c r="AB42" s="63" t="s">
        <v>1430</v>
      </c>
    </row>
    <row r="43" spans="1:28" x14ac:dyDescent="0.25">
      <c r="A43" s="9" t="s">
        <v>469</v>
      </c>
      <c r="B43" s="9" t="str">
        <f t="shared" si="4"/>
        <v>Tiererkrankungen und -krankheiten</v>
      </c>
      <c r="C43" s="9" t="str">
        <f t="shared" si="6"/>
        <v>Translationale und angewandte Forschung: Tiererkrankungen und -krankheiten [PT33]</v>
      </c>
      <c r="D43" s="60" t="s">
        <v>924</v>
      </c>
      <c r="E43" s="61" t="s">
        <v>925</v>
      </c>
      <c r="F43" s="62" t="s">
        <v>926</v>
      </c>
      <c r="G43" s="61" t="s">
        <v>927</v>
      </c>
      <c r="H43" s="61" t="s">
        <v>928</v>
      </c>
      <c r="I43" s="38" t="s">
        <v>451</v>
      </c>
      <c r="J43" s="61" t="s">
        <v>1431</v>
      </c>
      <c r="K43" s="61" t="s">
        <v>1432</v>
      </c>
      <c r="L43" s="61" t="s">
        <v>1433</v>
      </c>
      <c r="M43" s="61" t="s">
        <v>1434</v>
      </c>
      <c r="N43" s="61"/>
      <c r="O43" s="61" t="s">
        <v>1435</v>
      </c>
      <c r="P43" s="61" t="s">
        <v>1436</v>
      </c>
      <c r="Q43" s="61" t="s">
        <v>1437</v>
      </c>
      <c r="R43" s="61" t="s">
        <v>1438</v>
      </c>
      <c r="S43" s="61" t="s">
        <v>1439</v>
      </c>
      <c r="T43" s="61" t="s">
        <v>1440</v>
      </c>
      <c r="U43" s="61" t="s">
        <v>1441</v>
      </c>
      <c r="V43" s="62" t="s">
        <v>1442</v>
      </c>
      <c r="W43" s="61" t="s">
        <v>1443</v>
      </c>
      <c r="X43" s="61" t="s">
        <v>1444</v>
      </c>
      <c r="Y43" s="61" t="s">
        <v>1445</v>
      </c>
      <c r="Z43" s="61" t="s">
        <v>1446</v>
      </c>
      <c r="AA43" s="61" t="s">
        <v>1447</v>
      </c>
      <c r="AB43" s="63" t="s">
        <v>1448</v>
      </c>
    </row>
    <row r="44" spans="1:28" x14ac:dyDescent="0.25">
      <c r="A44" s="44" t="s">
        <v>474</v>
      </c>
      <c r="B44" s="9" t="str">
        <f t="shared" si="4"/>
        <v>Tierernährung</v>
      </c>
      <c r="C44" s="9" t="str">
        <f t="shared" si="6"/>
        <v>Translationale und angewandte Forschung: Tierernährung [PT38]</v>
      </c>
      <c r="D44" s="60" t="s">
        <v>929</v>
      </c>
      <c r="E44" s="61" t="s">
        <v>930</v>
      </c>
      <c r="F44" s="62" t="s">
        <v>931</v>
      </c>
      <c r="G44" s="61" t="s">
        <v>932</v>
      </c>
      <c r="H44" s="61" t="s">
        <v>933</v>
      </c>
      <c r="I44" s="38" t="s">
        <v>452</v>
      </c>
      <c r="J44" s="61" t="s">
        <v>1449</v>
      </c>
      <c r="K44" s="61" t="s">
        <v>1450</v>
      </c>
      <c r="L44" s="61" t="s">
        <v>1451</v>
      </c>
      <c r="M44" s="61" t="s">
        <v>1452</v>
      </c>
      <c r="N44" s="61"/>
      <c r="O44" s="61" t="s">
        <v>1453</v>
      </c>
      <c r="P44" s="61" t="s">
        <v>1454</v>
      </c>
      <c r="Q44" s="61" t="s">
        <v>1455</v>
      </c>
      <c r="R44" s="61" t="s">
        <v>1456</v>
      </c>
      <c r="S44" s="61" t="s">
        <v>1457</v>
      </c>
      <c r="T44" s="61" t="s">
        <v>1458</v>
      </c>
      <c r="U44" s="61" t="s">
        <v>1459</v>
      </c>
      <c r="V44" s="62" t="s">
        <v>1460</v>
      </c>
      <c r="W44" s="61" t="s">
        <v>1461</v>
      </c>
      <c r="X44" s="61" t="s">
        <v>1462</v>
      </c>
      <c r="Y44" s="61" t="s">
        <v>1463</v>
      </c>
      <c r="Z44" s="61" t="s">
        <v>1464</v>
      </c>
      <c r="AA44" s="61" t="s">
        <v>1465</v>
      </c>
      <c r="AB44" s="63" t="s">
        <v>1466</v>
      </c>
    </row>
    <row r="45" spans="1:28" x14ac:dyDescent="0.25">
      <c r="A45" s="9" t="s">
        <v>470</v>
      </c>
      <c r="B45" s="9" t="str">
        <f t="shared" si="4"/>
        <v>Tierschutz</v>
      </c>
      <c r="C45" s="9" t="str">
        <f t="shared" si="6"/>
        <v>Translationale und angewandte Forschung: Tierschutz [PT34]</v>
      </c>
      <c r="D45" s="60" t="s">
        <v>934</v>
      </c>
      <c r="E45" s="61" t="s">
        <v>935</v>
      </c>
      <c r="F45" s="62" t="s">
        <v>936</v>
      </c>
      <c r="G45" s="61" t="s">
        <v>937</v>
      </c>
      <c r="H45" s="61" t="s">
        <v>938</v>
      </c>
      <c r="I45" s="38" t="s">
        <v>453</v>
      </c>
      <c r="J45" s="61" t="s">
        <v>1467</v>
      </c>
      <c r="K45" s="61" t="s">
        <v>1468</v>
      </c>
      <c r="L45" s="61" t="s">
        <v>1469</v>
      </c>
      <c r="M45" s="61" t="s">
        <v>1470</v>
      </c>
      <c r="N45" s="61"/>
      <c r="O45" s="61" t="s">
        <v>1471</v>
      </c>
      <c r="P45" s="61" t="s">
        <v>1472</v>
      </c>
      <c r="Q45" s="61" t="s">
        <v>1473</v>
      </c>
      <c r="R45" s="61" t="s">
        <v>1474</v>
      </c>
      <c r="S45" s="61" t="s">
        <v>1475</v>
      </c>
      <c r="T45" s="61" t="s">
        <v>1476</v>
      </c>
      <c r="U45" s="61" t="s">
        <v>1477</v>
      </c>
      <c r="V45" s="62" t="s">
        <v>1478</v>
      </c>
      <c r="W45" s="61" t="s">
        <v>1479</v>
      </c>
      <c r="X45" s="61" t="s">
        <v>1480</v>
      </c>
      <c r="Y45" s="61" t="s">
        <v>1481</v>
      </c>
      <c r="Z45" s="61" t="s">
        <v>1482</v>
      </c>
      <c r="AA45" s="61" t="s">
        <v>1483</v>
      </c>
      <c r="AB45" s="63" t="s">
        <v>1484</v>
      </c>
    </row>
    <row r="46" spans="1:28" x14ac:dyDescent="0.25">
      <c r="A46" s="9" t="s">
        <v>471</v>
      </c>
      <c r="B46" s="9" t="str">
        <f t="shared" si="4"/>
        <v>Krankheitsdiagnose</v>
      </c>
      <c r="C46" s="9" t="str">
        <f t="shared" si="6"/>
        <v>Translationale und angewandte Forschung: Krankheitsdiagnose [PT35]</v>
      </c>
      <c r="D46" s="60" t="s">
        <v>939</v>
      </c>
      <c r="E46" s="61" t="s">
        <v>940</v>
      </c>
      <c r="F46" s="62" t="s">
        <v>941</v>
      </c>
      <c r="G46" s="61" t="s">
        <v>942</v>
      </c>
      <c r="H46" s="61" t="s">
        <v>943</v>
      </c>
      <c r="I46" s="38" t="s">
        <v>454</v>
      </c>
      <c r="J46" s="61" t="s">
        <v>1485</v>
      </c>
      <c r="K46" s="61" t="s">
        <v>1486</v>
      </c>
      <c r="L46" s="61" t="s">
        <v>1487</v>
      </c>
      <c r="M46" s="61" t="s">
        <v>1488</v>
      </c>
      <c r="N46" s="61"/>
      <c r="O46" s="61" t="s">
        <v>1489</v>
      </c>
      <c r="P46" s="61" t="s">
        <v>1490</v>
      </c>
      <c r="Q46" s="61" t="s">
        <v>1491</v>
      </c>
      <c r="R46" s="61" t="s">
        <v>1492</v>
      </c>
      <c r="S46" s="61" t="s">
        <v>1493</v>
      </c>
      <c r="T46" s="61" t="s">
        <v>1494</v>
      </c>
      <c r="U46" s="61" t="s">
        <v>1495</v>
      </c>
      <c r="V46" s="62" t="s">
        <v>1496</v>
      </c>
      <c r="W46" s="61" t="s">
        <v>1497</v>
      </c>
      <c r="X46" s="61" t="s">
        <v>1498</v>
      </c>
      <c r="Y46" s="61" t="s">
        <v>1499</v>
      </c>
      <c r="Z46" s="61" t="s">
        <v>1500</v>
      </c>
      <c r="AA46" s="61" t="s">
        <v>1501</v>
      </c>
      <c r="AB46" s="63" t="s">
        <v>1502</v>
      </c>
    </row>
    <row r="47" spans="1:28" x14ac:dyDescent="0.25">
      <c r="A47" s="9" t="s">
        <v>472</v>
      </c>
      <c r="B47" s="9" t="str">
        <f t="shared" si="4"/>
        <v>Pflanzenkrankheiten</v>
      </c>
      <c r="C47" s="9" t="str">
        <f t="shared" si="6"/>
        <v>Translationale und angewandte Forschung: Pflanzenkrankheiten [PT36]</v>
      </c>
      <c r="D47" s="60" t="s">
        <v>944</v>
      </c>
      <c r="E47" s="61" t="s">
        <v>945</v>
      </c>
      <c r="F47" s="62" t="s">
        <v>946</v>
      </c>
      <c r="G47" s="61" t="s">
        <v>947</v>
      </c>
      <c r="H47" s="61" t="s">
        <v>948</v>
      </c>
      <c r="I47" s="38" t="s">
        <v>455</v>
      </c>
      <c r="J47" s="61" t="s">
        <v>1503</v>
      </c>
      <c r="K47" s="61" t="s">
        <v>1504</v>
      </c>
      <c r="L47" s="61" t="s">
        <v>1505</v>
      </c>
      <c r="M47" s="61" t="s">
        <v>1506</v>
      </c>
      <c r="N47" s="61"/>
      <c r="O47" s="61" t="s">
        <v>1507</v>
      </c>
      <c r="P47" s="61" t="s">
        <v>1508</v>
      </c>
      <c r="Q47" s="61" t="s">
        <v>1509</v>
      </c>
      <c r="R47" s="61" t="s">
        <v>1510</v>
      </c>
      <c r="S47" s="61" t="s">
        <v>1511</v>
      </c>
      <c r="T47" s="61" t="s">
        <v>1512</v>
      </c>
      <c r="U47" s="61" t="s">
        <v>1513</v>
      </c>
      <c r="V47" s="62" t="s">
        <v>1514</v>
      </c>
      <c r="W47" s="61" t="s">
        <v>1515</v>
      </c>
      <c r="X47" s="61" t="s">
        <v>1516</v>
      </c>
      <c r="Y47" s="61" t="s">
        <v>1517</v>
      </c>
      <c r="Z47" s="61" t="s">
        <v>1518</v>
      </c>
      <c r="AA47" s="61" t="s">
        <v>1519</v>
      </c>
      <c r="AB47" s="63" t="s">
        <v>1520</v>
      </c>
    </row>
    <row r="48" spans="1:28" x14ac:dyDescent="0.25">
      <c r="A48" s="9" t="s">
        <v>473</v>
      </c>
      <c r="B48" s="9" t="str">
        <f t="shared" si="4"/>
        <v>Nicht regulatorische Toxikologie und Ökotoxikologie</v>
      </c>
      <c r="C48" s="9" t="str">
        <f t="shared" si="6"/>
        <v>Translationale und angewandte Forschung: Nicht regulatorische Toxikologie und Ökotoxikologie [PT37]</v>
      </c>
      <c r="D48" s="60" t="s">
        <v>949</v>
      </c>
      <c r="E48" s="61" t="s">
        <v>950</v>
      </c>
      <c r="F48" s="62" t="s">
        <v>951</v>
      </c>
      <c r="G48" s="61" t="s">
        <v>952</v>
      </c>
      <c r="H48" s="61" t="s">
        <v>953</v>
      </c>
      <c r="I48" s="38" t="s">
        <v>456</v>
      </c>
      <c r="J48" s="61" t="s">
        <v>1521</v>
      </c>
      <c r="K48" s="61" t="s">
        <v>1522</v>
      </c>
      <c r="L48" s="61" t="s">
        <v>1523</v>
      </c>
      <c r="M48" s="61" t="s">
        <v>1524</v>
      </c>
      <c r="N48" s="61"/>
      <c r="O48" s="61" t="s">
        <v>1525</v>
      </c>
      <c r="P48" s="61" t="s">
        <v>1526</v>
      </c>
      <c r="Q48" s="61" t="s">
        <v>1527</v>
      </c>
      <c r="R48" s="61" t="s">
        <v>1528</v>
      </c>
      <c r="S48" s="61" t="s">
        <v>1529</v>
      </c>
      <c r="T48" s="61" t="s">
        <v>1530</v>
      </c>
      <c r="U48" s="61" t="s">
        <v>1531</v>
      </c>
      <c r="V48" s="62" t="s">
        <v>1532</v>
      </c>
      <c r="W48" s="61" t="s">
        <v>1533</v>
      </c>
      <c r="X48" s="61" t="s">
        <v>1534</v>
      </c>
      <c r="Y48" s="61" t="s">
        <v>1535</v>
      </c>
      <c r="Z48" s="61" t="s">
        <v>1536</v>
      </c>
      <c r="AA48" s="61" t="s">
        <v>1537</v>
      </c>
      <c r="AB48" s="63" t="s">
        <v>1538</v>
      </c>
    </row>
    <row r="49" spans="1:28" x14ac:dyDescent="0.25">
      <c r="A49" s="44" t="s">
        <v>481</v>
      </c>
      <c r="B49" s="9" t="str">
        <f t="shared" si="4"/>
        <v>Qualitätskontrolle (einschließlich Chargenunbedenklichkeits- und -potenzprüfungen)</v>
      </c>
      <c r="C49" s="9" t="str">
        <f>CONCATENATE(B$7,": ",B49," [",A49,"]")</f>
        <v>Verwendung zu regulatorischen Zwecken und Routineproduktion: Qualitätskontrolle (einschließlich Chargenunbedenklichkeits- und -potenzprüfungen) [PRQC]</v>
      </c>
      <c r="D49" s="60" t="s">
        <v>954</v>
      </c>
      <c r="E49" s="61" t="s">
        <v>955</v>
      </c>
      <c r="F49" s="62" t="s">
        <v>956</v>
      </c>
      <c r="G49" s="61" t="s">
        <v>957</v>
      </c>
      <c r="H49" s="61" t="s">
        <v>958</v>
      </c>
      <c r="I49" s="38" t="s">
        <v>477</v>
      </c>
      <c r="J49" s="61" t="s">
        <v>1539</v>
      </c>
      <c r="K49" s="61" t="s">
        <v>1540</v>
      </c>
      <c r="L49" s="61" t="s">
        <v>1541</v>
      </c>
      <c r="M49" s="61" t="s">
        <v>1542</v>
      </c>
      <c r="N49" s="61"/>
      <c r="O49" s="61" t="s">
        <v>1543</v>
      </c>
      <c r="P49" s="61" t="s">
        <v>1544</v>
      </c>
      <c r="Q49" s="61" t="s">
        <v>1545</v>
      </c>
      <c r="R49" s="61" t="s">
        <v>1546</v>
      </c>
      <c r="S49" s="61" t="s">
        <v>1547</v>
      </c>
      <c r="T49" s="61" t="s">
        <v>1548</v>
      </c>
      <c r="U49" s="61" t="s">
        <v>1549</v>
      </c>
      <c r="V49" s="62" t="s">
        <v>1550</v>
      </c>
      <c r="W49" s="61" t="s">
        <v>1551</v>
      </c>
      <c r="X49" s="61" t="s">
        <v>1552</v>
      </c>
      <c r="Y49" s="61" t="s">
        <v>1553</v>
      </c>
      <c r="Z49" s="61" t="s">
        <v>1554</v>
      </c>
      <c r="AA49" s="61" t="s">
        <v>1555</v>
      </c>
      <c r="AB49" s="63" t="s">
        <v>1556</v>
      </c>
    </row>
    <row r="50" spans="1:28" x14ac:dyDescent="0.25">
      <c r="A50" s="9" t="s">
        <v>482</v>
      </c>
      <c r="B50" s="9" t="str">
        <f t="shared" si="4"/>
        <v>Andere Wirksamkeits- und Toleranzprüfungen</v>
      </c>
      <c r="C50" s="9" t="str">
        <f t="shared" ref="C50:C52" si="7">CONCATENATE(B$7,": ",B50," [",A50,"]")</f>
        <v>Verwendung zu regulatorischen Zwecken und Routineproduktion: Andere Wirksamkeits- und Toleranzprüfungen [PR71]</v>
      </c>
      <c r="D50" s="60" t="s">
        <v>959</v>
      </c>
      <c r="E50" s="61" t="s">
        <v>960</v>
      </c>
      <c r="F50" s="62" t="s">
        <v>961</v>
      </c>
      <c r="G50" s="61" t="s">
        <v>962</v>
      </c>
      <c r="H50" s="61" t="s">
        <v>963</v>
      </c>
      <c r="I50" s="38" t="s">
        <v>478</v>
      </c>
      <c r="J50" s="61" t="s">
        <v>1557</v>
      </c>
      <c r="K50" s="61" t="s">
        <v>1558</v>
      </c>
      <c r="L50" s="61" t="s">
        <v>1559</v>
      </c>
      <c r="M50" s="61" t="s">
        <v>1560</v>
      </c>
      <c r="N50" s="61"/>
      <c r="O50" s="61" t="s">
        <v>1561</v>
      </c>
      <c r="P50" s="61" t="s">
        <v>1562</v>
      </c>
      <c r="Q50" s="61" t="s">
        <v>1563</v>
      </c>
      <c r="R50" s="61" t="s">
        <v>1564</v>
      </c>
      <c r="S50" s="61" t="s">
        <v>1565</v>
      </c>
      <c r="T50" s="61" t="s">
        <v>1566</v>
      </c>
      <c r="U50" s="61" t="s">
        <v>1567</v>
      </c>
      <c r="V50" s="62" t="s">
        <v>1568</v>
      </c>
      <c r="W50" s="61" t="s">
        <v>1569</v>
      </c>
      <c r="X50" s="61" t="s">
        <v>1570</v>
      </c>
      <c r="Y50" s="61" t="s">
        <v>1571</v>
      </c>
      <c r="Z50" s="61" t="s">
        <v>1572</v>
      </c>
      <c r="AA50" s="61" t="s">
        <v>1573</v>
      </c>
      <c r="AB50" s="63" t="s">
        <v>1574</v>
      </c>
    </row>
    <row r="51" spans="1:28" x14ac:dyDescent="0.25">
      <c r="A51" s="44" t="s">
        <v>483</v>
      </c>
      <c r="B51" s="9" t="str">
        <f t="shared" si="4"/>
        <v>Toxizitäts- und andere Unbedenklichkeitsprüfungen, einschließlich pharmakologischer Tests</v>
      </c>
      <c r="C51" s="9" t="str">
        <f t="shared" si="7"/>
        <v>Verwendung zu regulatorischen Zwecken und Routineproduktion: Toxizitäts- und andere Unbedenklichkeitsprüfungen, einschließlich pharmakologischer Tests [PRTS]</v>
      </c>
      <c r="D51" s="60" t="s">
        <v>964</v>
      </c>
      <c r="E51" s="61" t="s">
        <v>965</v>
      </c>
      <c r="F51" s="62" t="s">
        <v>966</v>
      </c>
      <c r="G51" s="61" t="s">
        <v>967</v>
      </c>
      <c r="H51" s="61" t="s">
        <v>968</v>
      </c>
      <c r="I51" s="38" t="s">
        <v>479</v>
      </c>
      <c r="J51" s="61" t="s">
        <v>1575</v>
      </c>
      <c r="K51" s="61" t="s">
        <v>1576</v>
      </c>
      <c r="L51" s="61" t="s">
        <v>1577</v>
      </c>
      <c r="M51" s="61" t="s">
        <v>1578</v>
      </c>
      <c r="N51" s="61"/>
      <c r="O51" s="61" t="s">
        <v>1579</v>
      </c>
      <c r="P51" s="61" t="s">
        <v>1580</v>
      </c>
      <c r="Q51" s="61" t="s">
        <v>1581</v>
      </c>
      <c r="R51" s="61" t="s">
        <v>1582</v>
      </c>
      <c r="S51" s="61" t="s">
        <v>1583</v>
      </c>
      <c r="T51" s="61" t="s">
        <v>1584</v>
      </c>
      <c r="U51" s="61" t="s">
        <v>1585</v>
      </c>
      <c r="V51" s="62" t="s">
        <v>1586</v>
      </c>
      <c r="W51" s="61" t="s">
        <v>1587</v>
      </c>
      <c r="X51" s="61" t="s">
        <v>1588</v>
      </c>
      <c r="Y51" s="61" t="s">
        <v>1589</v>
      </c>
      <c r="Z51" s="61" t="s">
        <v>1590</v>
      </c>
      <c r="AA51" s="61" t="s">
        <v>1591</v>
      </c>
      <c r="AB51" s="63" t="s">
        <v>1592</v>
      </c>
    </row>
    <row r="52" spans="1:28" x14ac:dyDescent="0.25">
      <c r="A52" s="44" t="s">
        <v>484</v>
      </c>
      <c r="B52" s="9" t="str">
        <f t="shared" si="4"/>
        <v>Routineproduktion, nach Produkttyp</v>
      </c>
      <c r="C52" s="9" t="str">
        <f t="shared" si="7"/>
        <v>Verwendung zu regulatorischen Zwecken und Routineproduktion: Routineproduktion, nach Produkttyp [PRRP]</v>
      </c>
      <c r="D52" s="60" t="s">
        <v>969</v>
      </c>
      <c r="E52" s="61" t="s">
        <v>970</v>
      </c>
      <c r="F52" s="62" t="s">
        <v>971</v>
      </c>
      <c r="G52" s="61" t="s">
        <v>972</v>
      </c>
      <c r="H52" s="61" t="s">
        <v>973</v>
      </c>
      <c r="I52" s="38" t="s">
        <v>480</v>
      </c>
      <c r="J52" s="61" t="s">
        <v>1593</v>
      </c>
      <c r="K52" s="61" t="s">
        <v>1594</v>
      </c>
      <c r="L52" s="61" t="s">
        <v>1595</v>
      </c>
      <c r="M52" s="61" t="s">
        <v>1596</v>
      </c>
      <c r="N52" s="61"/>
      <c r="O52" s="61" t="s">
        <v>1597</v>
      </c>
      <c r="P52" s="61" t="s">
        <v>1598</v>
      </c>
      <c r="Q52" s="61" t="s">
        <v>1599</v>
      </c>
      <c r="R52" s="61" t="s">
        <v>1600</v>
      </c>
      <c r="S52" s="61" t="s">
        <v>1601</v>
      </c>
      <c r="T52" s="61" t="s">
        <v>1602</v>
      </c>
      <c r="U52" s="61" t="s">
        <v>1603</v>
      </c>
      <c r="V52" s="62" t="s">
        <v>1604</v>
      </c>
      <c r="W52" s="61" t="s">
        <v>1605</v>
      </c>
      <c r="X52" s="61" t="s">
        <v>1606</v>
      </c>
      <c r="Y52" s="61" t="s">
        <v>1607</v>
      </c>
      <c r="Z52" s="61" t="s">
        <v>1608</v>
      </c>
      <c r="AA52" s="61" t="s">
        <v>1609</v>
      </c>
      <c r="AB52" s="63" t="s">
        <v>1610</v>
      </c>
    </row>
    <row r="53" spans="1:28" x14ac:dyDescent="0.25">
      <c r="A53" s="45" t="s">
        <v>485</v>
      </c>
      <c r="C53" s="9" t="str">
        <f>CONCATENATE(B$8," [",A53,"]")</f>
        <v>Schutz der natürlichen Umwelt im Interesse der Gesundheit oder des Wohlbefindens von Menschen und Tieren [PE40]</v>
      </c>
      <c r="D53" s="68"/>
      <c r="E53" s="38"/>
      <c r="F53" s="38"/>
      <c r="G53" s="38"/>
      <c r="H53" s="38"/>
      <c r="I53" s="38"/>
      <c r="J53" s="38"/>
      <c r="K53" s="38"/>
      <c r="L53" s="38"/>
      <c r="M53" s="38"/>
      <c r="N53" s="38"/>
      <c r="O53" s="38"/>
      <c r="P53" s="38"/>
      <c r="Q53" s="38"/>
      <c r="R53" s="38"/>
      <c r="S53" s="38"/>
      <c r="T53" s="38"/>
      <c r="U53" s="38"/>
      <c r="V53" s="38"/>
      <c r="W53" s="38"/>
      <c r="X53" s="38"/>
      <c r="Y53" s="38"/>
      <c r="Z53" s="38"/>
      <c r="AA53" s="38"/>
      <c r="AB53" s="69"/>
    </row>
    <row r="54" spans="1:28" x14ac:dyDescent="0.25">
      <c r="A54" s="38" t="s">
        <v>486</v>
      </c>
      <c r="C54" s="9" t="str">
        <f>CONCATENATE(B$9," [",A54,"]")</f>
        <v>Erhaltung der Art [PS41]</v>
      </c>
      <c r="D54" s="68"/>
      <c r="E54" s="38"/>
      <c r="F54" s="38"/>
      <c r="G54" s="38"/>
      <c r="H54" s="38"/>
      <c r="I54" s="38"/>
      <c r="J54" s="38"/>
      <c r="K54" s="38"/>
      <c r="L54" s="38"/>
      <c r="M54" s="38"/>
      <c r="N54" s="38"/>
      <c r="O54" s="38"/>
      <c r="P54" s="38"/>
      <c r="Q54" s="38"/>
      <c r="R54" s="38"/>
      <c r="S54" s="38"/>
      <c r="T54" s="38"/>
      <c r="U54" s="38"/>
      <c r="V54" s="38"/>
      <c r="W54" s="38"/>
      <c r="X54" s="38"/>
      <c r="Y54" s="38"/>
      <c r="Z54" s="38"/>
      <c r="AA54" s="38"/>
      <c r="AB54" s="69"/>
    </row>
    <row r="55" spans="1:28" x14ac:dyDescent="0.25">
      <c r="A55" s="39" t="s">
        <v>487</v>
      </c>
      <c r="C55" s="9" t="str">
        <f>CONCATENATE(B$10," [",A55,"]")</f>
        <v>Hochschulausbildung [PE42-1]</v>
      </c>
      <c r="D55" s="68"/>
      <c r="E55" s="38"/>
      <c r="F55" s="38"/>
      <c r="G55" s="38"/>
      <c r="H55" s="38"/>
      <c r="I55" s="38"/>
      <c r="J55" s="38"/>
      <c r="K55" s="38"/>
      <c r="L55" s="38"/>
      <c r="M55" s="38"/>
      <c r="N55" s="38"/>
      <c r="O55" s="38"/>
      <c r="P55" s="38"/>
      <c r="Q55" s="38"/>
      <c r="R55" s="38"/>
      <c r="S55" s="38"/>
      <c r="T55" s="38"/>
      <c r="U55" s="38"/>
      <c r="V55" s="38"/>
      <c r="W55" s="38"/>
      <c r="X55" s="38"/>
      <c r="Y55" s="38"/>
      <c r="Z55" s="38"/>
      <c r="AA55" s="38"/>
      <c r="AB55" s="69"/>
    </row>
    <row r="56" spans="1:28" x14ac:dyDescent="0.25">
      <c r="A56" s="39" t="s">
        <v>488</v>
      </c>
      <c r="C56" s="9" t="str">
        <f>CONCATENATE(B$11," [",A56,"]")</f>
        <v>Schulung zum Erwerb, zur Erhaltung oder zur Verbesserung beruflicher Fähigkeiten [PE42-2]</v>
      </c>
      <c r="D56" s="68"/>
      <c r="E56" s="38"/>
      <c r="F56" s="38"/>
      <c r="G56" s="38"/>
      <c r="H56" s="38"/>
      <c r="I56" s="38"/>
      <c r="J56" s="38"/>
      <c r="K56" s="38"/>
      <c r="L56" s="38"/>
      <c r="M56" s="38"/>
      <c r="N56" s="38"/>
      <c r="O56" s="38"/>
      <c r="P56" s="38"/>
      <c r="Q56" s="38"/>
      <c r="R56" s="38"/>
      <c r="S56" s="38"/>
      <c r="T56" s="38"/>
      <c r="U56" s="38"/>
      <c r="V56" s="38"/>
      <c r="W56" s="38"/>
      <c r="X56" s="38"/>
      <c r="Y56" s="38"/>
      <c r="Z56" s="38"/>
      <c r="AA56" s="38"/>
      <c r="AB56" s="69"/>
    </row>
    <row r="57" spans="1:28" x14ac:dyDescent="0.25">
      <c r="A57" s="38" t="s">
        <v>489</v>
      </c>
      <c r="C57" s="9" t="str">
        <f>CONCATENATE(B$12," [",A57,"]")</f>
        <v>Forensische Untersuchungen [PF43]</v>
      </c>
      <c r="D57" s="68"/>
      <c r="E57" s="38"/>
      <c r="F57" s="38"/>
      <c r="G57" s="38"/>
      <c r="H57" s="38"/>
      <c r="I57" s="38"/>
      <c r="J57" s="38"/>
      <c r="K57" s="38"/>
      <c r="L57" s="38"/>
      <c r="M57" s="38"/>
      <c r="N57" s="38"/>
      <c r="O57" s="38"/>
      <c r="P57" s="38"/>
      <c r="Q57" s="38"/>
      <c r="R57" s="38"/>
      <c r="S57" s="38"/>
      <c r="T57" s="38"/>
      <c r="U57" s="38"/>
      <c r="V57" s="38"/>
      <c r="W57" s="38"/>
      <c r="X57" s="38"/>
      <c r="Y57" s="38"/>
      <c r="Z57" s="38"/>
      <c r="AA57" s="38"/>
      <c r="AB57" s="69"/>
    </row>
    <row r="58" spans="1:28" x14ac:dyDescent="0.25">
      <c r="A58" s="38" t="s">
        <v>490</v>
      </c>
      <c r="C58" s="9" t="str">
        <f>CONCATENATE(B$13," [",A58,"]")</f>
        <v>Erhaltung von Kolonien etablierter genetisch veränderter Tiere, die nicht in anderen Verfahren verwendet werden [PG43]</v>
      </c>
      <c r="D58" s="68"/>
      <c r="E58" s="38"/>
      <c r="F58" s="38"/>
      <c r="G58" s="38"/>
      <c r="H58" s="38"/>
      <c r="I58" s="38"/>
      <c r="J58" s="38"/>
      <c r="K58" s="38"/>
      <c r="L58" s="38"/>
      <c r="M58" s="38"/>
      <c r="N58" s="38"/>
      <c r="O58" s="38"/>
      <c r="P58" s="38"/>
      <c r="Q58" s="38"/>
      <c r="R58" s="38"/>
      <c r="S58" s="38"/>
      <c r="T58" s="38"/>
      <c r="U58" s="38"/>
      <c r="V58" s="38"/>
      <c r="W58" s="38"/>
      <c r="X58" s="38"/>
      <c r="Y58" s="38"/>
      <c r="Z58" s="38"/>
      <c r="AA58" s="38"/>
      <c r="AB58" s="69"/>
    </row>
    <row r="59" spans="1:28" ht="15.75" thickBot="1" x14ac:dyDescent="0.3">
      <c r="A59" s="38" t="s">
        <v>544</v>
      </c>
      <c r="C59" s="9" t="str">
        <f>CONCATENATE(B$14," [",A59,"]")</f>
        <v>Nicht-EU-Zweck [PN107]</v>
      </c>
      <c r="D59" s="70"/>
      <c r="E59" s="47"/>
      <c r="F59" s="47"/>
      <c r="G59" s="47"/>
      <c r="H59" s="47"/>
      <c r="I59" s="47"/>
      <c r="J59" s="47"/>
      <c r="K59" s="47"/>
      <c r="L59" s="47"/>
      <c r="M59" s="47"/>
      <c r="N59" s="47"/>
      <c r="O59" s="47"/>
      <c r="P59" s="47"/>
      <c r="Q59" s="47"/>
      <c r="R59" s="47"/>
      <c r="S59" s="47"/>
      <c r="T59" s="47"/>
      <c r="U59" s="47"/>
      <c r="V59" s="47"/>
      <c r="W59" s="47"/>
      <c r="X59" s="47"/>
      <c r="Y59" s="47"/>
      <c r="Z59" s="47"/>
      <c r="AA59" s="47"/>
      <c r="AB59" s="71"/>
    </row>
    <row r="60" spans="1:28" x14ac:dyDescent="0.25">
      <c r="D60" s="38"/>
      <c r="E60" s="38"/>
      <c r="F60" s="38"/>
      <c r="G60" s="38"/>
      <c r="H60" s="38"/>
      <c r="I60" s="38"/>
      <c r="J60" s="38"/>
      <c r="K60" s="38"/>
      <c r="L60" s="38"/>
      <c r="M60" s="38"/>
      <c r="N60" s="38"/>
      <c r="O60" s="38"/>
      <c r="P60" s="38"/>
      <c r="Q60" s="38"/>
      <c r="R60" s="38"/>
      <c r="S60" s="38"/>
      <c r="T60" s="38"/>
      <c r="U60" s="38"/>
      <c r="V60" s="38"/>
      <c r="W60" s="38"/>
      <c r="X60" s="38"/>
      <c r="Y60" s="38"/>
      <c r="Z60" s="38"/>
      <c r="AA60" s="38"/>
      <c r="AB60" s="38"/>
    </row>
    <row r="61" spans="1:28" ht="15.75" thickBot="1" x14ac:dyDescent="0.3"/>
    <row r="62" spans="1:28" s="42" customFormat="1" x14ac:dyDescent="0.25">
      <c r="A62" s="42" t="s">
        <v>8</v>
      </c>
      <c r="B62" s="42" t="s">
        <v>9</v>
      </c>
      <c r="C62" s="42" t="s">
        <v>10</v>
      </c>
      <c r="D62" s="34" t="str">
        <f t="shared" ref="D62:AB62" si="8">languages</f>
        <v>bg</v>
      </c>
      <c r="E62" s="35" t="str">
        <f t="shared" si="8"/>
        <v>cs</v>
      </c>
      <c r="F62" s="35" t="str">
        <f t="shared" si="8"/>
        <v>da</v>
      </c>
      <c r="G62" s="35" t="str">
        <f t="shared" si="8"/>
        <v>de</v>
      </c>
      <c r="H62" s="35" t="str">
        <f t="shared" si="8"/>
        <v>el</v>
      </c>
      <c r="I62" s="35" t="str">
        <f t="shared" si="8"/>
        <v>en</v>
      </c>
      <c r="J62" s="35" t="str">
        <f t="shared" si="8"/>
        <v>es</v>
      </c>
      <c r="K62" s="35" t="str">
        <f t="shared" si="8"/>
        <v>et</v>
      </c>
      <c r="L62" s="35" t="str">
        <f t="shared" si="8"/>
        <v>fi</v>
      </c>
      <c r="M62" s="35" t="str">
        <f t="shared" si="8"/>
        <v>fr</v>
      </c>
      <c r="N62" s="35" t="str">
        <f t="shared" si="8"/>
        <v>ga</v>
      </c>
      <c r="O62" s="35" t="str">
        <f t="shared" si="8"/>
        <v>hr</v>
      </c>
      <c r="P62" s="35" t="str">
        <f t="shared" si="8"/>
        <v>hu</v>
      </c>
      <c r="Q62" s="35" t="str">
        <f t="shared" si="8"/>
        <v>it</v>
      </c>
      <c r="R62" s="35" t="str">
        <f t="shared" si="8"/>
        <v>lt</v>
      </c>
      <c r="S62" s="35" t="str">
        <f t="shared" si="8"/>
        <v>lv</v>
      </c>
      <c r="T62" s="35" t="str">
        <f t="shared" si="8"/>
        <v>mt</v>
      </c>
      <c r="U62" s="35" t="str">
        <f t="shared" si="8"/>
        <v>nl</v>
      </c>
      <c r="V62" s="35" t="str">
        <f t="shared" si="8"/>
        <v>pl</v>
      </c>
      <c r="W62" s="35" t="str">
        <f t="shared" si="8"/>
        <v>pt</v>
      </c>
      <c r="X62" s="35" t="str">
        <f t="shared" si="8"/>
        <v>ro</v>
      </c>
      <c r="Y62" s="35" t="str">
        <f t="shared" si="8"/>
        <v>sk</v>
      </c>
      <c r="Z62" s="35" t="str">
        <f t="shared" si="8"/>
        <v>sl</v>
      </c>
      <c r="AA62" s="35" t="str">
        <f t="shared" si="8"/>
        <v>sv</v>
      </c>
      <c r="AB62" s="36" t="str">
        <f t="shared" si="8"/>
        <v>no</v>
      </c>
    </row>
    <row r="63" spans="1:28" x14ac:dyDescent="0.25">
      <c r="A63" s="9">
        <v>1</v>
      </c>
      <c r="B63" s="9" t="str">
        <f>IF(TRIM(HLOOKUP(language_or_default,choiceTranslations,MATCH(A63,choiceCode,0),FALSE))="",HLOOKUP("en",choiceTranslations,MATCH(A63,choiceCode,0),FALSE),HLOOKUP(language_or_default,choiceTranslations,MATCH(A63,choiceCode,0),FALSE))</f>
        <v>Ja</v>
      </c>
      <c r="C63" s="9" t="str">
        <f>CONCATENATE(B63," ","[",A63,"]")</f>
        <v>Ja [1]</v>
      </c>
      <c r="D63" s="60" t="s">
        <v>1611</v>
      </c>
      <c r="E63" s="61" t="s">
        <v>1612</v>
      </c>
      <c r="F63" s="62" t="s">
        <v>1613</v>
      </c>
      <c r="G63" s="61" t="s">
        <v>1614</v>
      </c>
      <c r="H63" s="61" t="s">
        <v>1615</v>
      </c>
      <c r="I63" s="48" t="s">
        <v>4</v>
      </c>
      <c r="J63" s="61" t="s">
        <v>1621</v>
      </c>
      <c r="K63" s="61" t="s">
        <v>1622</v>
      </c>
      <c r="L63" s="61" t="s">
        <v>1623</v>
      </c>
      <c r="M63" s="61" t="s">
        <v>1624</v>
      </c>
      <c r="N63" s="61"/>
      <c r="O63" s="61" t="s">
        <v>1625</v>
      </c>
      <c r="P63" s="61" t="s">
        <v>1626</v>
      </c>
      <c r="Q63" s="61" t="s">
        <v>1627</v>
      </c>
      <c r="R63" s="61" t="s">
        <v>1628</v>
      </c>
      <c r="S63" s="61" t="s">
        <v>1629</v>
      </c>
      <c r="T63" s="61" t="s">
        <v>1630</v>
      </c>
      <c r="U63" s="61" t="s">
        <v>1613</v>
      </c>
      <c r="V63" s="62" t="s">
        <v>1631</v>
      </c>
      <c r="W63" s="61" t="s">
        <v>1632</v>
      </c>
      <c r="X63" s="61" t="s">
        <v>5</v>
      </c>
      <c r="Y63" s="61" t="s">
        <v>1633</v>
      </c>
      <c r="Z63" s="61" t="s">
        <v>1625</v>
      </c>
      <c r="AA63" s="61" t="s">
        <v>1634</v>
      </c>
      <c r="AB63" s="61" t="s">
        <v>1613</v>
      </c>
    </row>
    <row r="64" spans="1:28" ht="15.75" thickBot="1" x14ac:dyDescent="0.3">
      <c r="A64" s="9">
        <v>0</v>
      </c>
      <c r="B64" s="9" t="str">
        <f>IF(TRIM(HLOOKUP(language_or_default,choiceTranslations,MATCH(A64,choiceCode,0),FALSE))="",HLOOKUP("en",choiceTranslations,MATCH(A64,choiceCode,0),FALSE),HLOOKUP(language_or_default,choiceTranslations,MATCH(A64,choiceCode,0),FALSE))</f>
        <v>Nein</v>
      </c>
      <c r="C64" s="9" t="str">
        <f>CONCATENATE(B64," ","[",A64,"]")</f>
        <v>Nein [0]</v>
      </c>
      <c r="D64" s="64" t="s">
        <v>1616</v>
      </c>
      <c r="E64" s="65" t="s">
        <v>1617</v>
      </c>
      <c r="F64" s="66" t="s">
        <v>1618</v>
      </c>
      <c r="G64" s="65" t="s">
        <v>1619</v>
      </c>
      <c r="H64" s="65" t="s">
        <v>1620</v>
      </c>
      <c r="I64" s="49" t="s">
        <v>13</v>
      </c>
      <c r="J64" s="65" t="s">
        <v>13</v>
      </c>
      <c r="K64" s="65" t="s">
        <v>1635</v>
      </c>
      <c r="L64" s="65" t="s">
        <v>1636</v>
      </c>
      <c r="M64" s="65" t="s">
        <v>1637</v>
      </c>
      <c r="N64" s="65"/>
      <c r="O64" s="65" t="s">
        <v>1638</v>
      </c>
      <c r="P64" s="65" t="s">
        <v>1639</v>
      </c>
      <c r="Q64" s="65" t="s">
        <v>13</v>
      </c>
      <c r="R64" s="65" t="s">
        <v>1617</v>
      </c>
      <c r="S64" s="65" t="s">
        <v>1640</v>
      </c>
      <c r="T64" s="65" t="s">
        <v>1641</v>
      </c>
      <c r="U64" s="65" t="s">
        <v>1642</v>
      </c>
      <c r="V64" s="66" t="s">
        <v>1643</v>
      </c>
      <c r="W64" s="65" t="s">
        <v>1644</v>
      </c>
      <c r="X64" s="65" t="s">
        <v>1645</v>
      </c>
      <c r="Y64" s="65" t="s">
        <v>1643</v>
      </c>
      <c r="Z64" s="65" t="s">
        <v>1638</v>
      </c>
      <c r="AA64" s="65" t="s">
        <v>1646</v>
      </c>
      <c r="AB64" s="65" t="s">
        <v>1647</v>
      </c>
    </row>
    <row r="65" spans="1:29" ht="15.75" thickBot="1" x14ac:dyDescent="0.3">
      <c r="D65" s="38"/>
      <c r="E65" s="38"/>
      <c r="F65" s="38"/>
      <c r="G65" s="38"/>
      <c r="H65" s="38"/>
      <c r="I65" s="48"/>
      <c r="J65" s="38"/>
      <c r="K65" s="38"/>
      <c r="L65" s="38"/>
      <c r="M65" s="38"/>
      <c r="N65" s="38"/>
      <c r="O65" s="50"/>
      <c r="P65" s="38"/>
      <c r="Q65" s="38"/>
      <c r="R65" s="38"/>
      <c r="S65" s="38"/>
      <c r="T65" s="38"/>
      <c r="U65" s="38"/>
      <c r="V65" s="38"/>
      <c r="W65" s="38"/>
      <c r="X65" s="38"/>
      <c r="Y65" s="38"/>
      <c r="Z65" s="38"/>
      <c r="AA65" s="38"/>
      <c r="AB65" s="38"/>
    </row>
    <row r="66" spans="1:29" x14ac:dyDescent="0.25">
      <c r="A66" s="42" t="s">
        <v>189</v>
      </c>
      <c r="B66" s="42" t="s">
        <v>190</v>
      </c>
      <c r="C66" s="42" t="s">
        <v>191</v>
      </c>
      <c r="D66" s="34" t="str">
        <f t="shared" ref="D66:AB66" si="9">languages</f>
        <v>bg</v>
      </c>
      <c r="E66" s="35" t="str">
        <f t="shared" si="9"/>
        <v>cs</v>
      </c>
      <c r="F66" s="35" t="str">
        <f t="shared" si="9"/>
        <v>da</v>
      </c>
      <c r="G66" s="35" t="str">
        <f t="shared" si="9"/>
        <v>de</v>
      </c>
      <c r="H66" s="35" t="str">
        <f t="shared" si="9"/>
        <v>el</v>
      </c>
      <c r="I66" s="35" t="str">
        <f t="shared" si="9"/>
        <v>en</v>
      </c>
      <c r="J66" s="35" t="str">
        <f t="shared" si="9"/>
        <v>es</v>
      </c>
      <c r="K66" s="35" t="str">
        <f t="shared" si="9"/>
        <v>et</v>
      </c>
      <c r="L66" s="35" t="str">
        <f t="shared" si="9"/>
        <v>fi</v>
      </c>
      <c r="M66" s="35" t="str">
        <f t="shared" si="9"/>
        <v>fr</v>
      </c>
      <c r="N66" s="35" t="str">
        <f t="shared" si="9"/>
        <v>ga</v>
      </c>
      <c r="O66" s="35" t="str">
        <f t="shared" si="9"/>
        <v>hr</v>
      </c>
      <c r="P66" s="35" t="str">
        <f t="shared" si="9"/>
        <v>hu</v>
      </c>
      <c r="Q66" s="35" t="str">
        <f t="shared" si="9"/>
        <v>it</v>
      </c>
      <c r="R66" s="35" t="str">
        <f t="shared" si="9"/>
        <v>lt</v>
      </c>
      <c r="S66" s="35" t="str">
        <f t="shared" si="9"/>
        <v>lv</v>
      </c>
      <c r="T66" s="35" t="str">
        <f t="shared" si="9"/>
        <v>mt</v>
      </c>
      <c r="U66" s="35" t="str">
        <f t="shared" si="9"/>
        <v>nl</v>
      </c>
      <c r="V66" s="35" t="str">
        <f t="shared" si="9"/>
        <v>pl</v>
      </c>
      <c r="W66" s="35" t="str">
        <f t="shared" si="9"/>
        <v>pt</v>
      </c>
      <c r="X66" s="35" t="str">
        <f t="shared" si="9"/>
        <v>ro</v>
      </c>
      <c r="Y66" s="35" t="str">
        <f t="shared" si="9"/>
        <v>sk</v>
      </c>
      <c r="Z66" s="35" t="str">
        <f t="shared" si="9"/>
        <v>sl</v>
      </c>
      <c r="AA66" s="35" t="str">
        <f t="shared" si="9"/>
        <v>sv</v>
      </c>
      <c r="AB66" s="36" t="str">
        <f t="shared" si="9"/>
        <v>no</v>
      </c>
      <c r="AC66" s="42" t="s">
        <v>302</v>
      </c>
    </row>
    <row r="67" spans="1:29" x14ac:dyDescent="0.25">
      <c r="A67" s="9" t="s">
        <v>192</v>
      </c>
      <c r="B67" s="41" t="str">
        <f t="shared" ref="B67:B108" si="10">IF(TRIM(HLOOKUP(language_or_default,speciesTranslations,MATCH(A67,speciesCode,0),FALSE))="",HLOOKUP("en",speciesTranslations,MATCH(A67,speciesCode,0),FALSE),HLOOKUP(language_or_default,speciesTranslations,MATCH(A67,speciesCode,0),FALSE))</f>
        <v>Mäuse</v>
      </c>
      <c r="C67" s="41" t="str">
        <f>CONCATENATE(B67," (",AC67,") ","[",A67,"]")</f>
        <v>Mäuse (Mus musculus) [A1]</v>
      </c>
      <c r="D67" s="60" t="s">
        <v>1648</v>
      </c>
      <c r="E67" s="61" t="s">
        <v>1649</v>
      </c>
      <c r="F67" s="62" t="s">
        <v>1650</v>
      </c>
      <c r="G67" s="61" t="s">
        <v>1651</v>
      </c>
      <c r="H67" s="61" t="s">
        <v>1652</v>
      </c>
      <c r="I67" s="48" t="s">
        <v>230</v>
      </c>
      <c r="J67" s="61" t="s">
        <v>1856</v>
      </c>
      <c r="K67" s="61" t="s">
        <v>1857</v>
      </c>
      <c r="L67" s="61" t="s">
        <v>1858</v>
      </c>
      <c r="M67" s="61" t="s">
        <v>1859</v>
      </c>
      <c r="N67" s="61"/>
      <c r="O67" s="61" t="s">
        <v>1860</v>
      </c>
      <c r="P67" s="61" t="s">
        <v>1861</v>
      </c>
      <c r="Q67" s="61" t="s">
        <v>1862</v>
      </c>
      <c r="R67" s="61" t="s">
        <v>1863</v>
      </c>
      <c r="S67" s="61" t="s">
        <v>1864</v>
      </c>
      <c r="T67" s="61" t="s">
        <v>1865</v>
      </c>
      <c r="U67" s="61" t="s">
        <v>1866</v>
      </c>
      <c r="V67" s="62" t="s">
        <v>1867</v>
      </c>
      <c r="W67" s="61" t="s">
        <v>1868</v>
      </c>
      <c r="X67" s="61" t="s">
        <v>1869</v>
      </c>
      <c r="Y67" s="61" t="s">
        <v>1870</v>
      </c>
      <c r="Z67" s="61" t="s">
        <v>1871</v>
      </c>
      <c r="AA67" s="61" t="s">
        <v>1872</v>
      </c>
      <c r="AB67" s="63" t="s">
        <v>1650</v>
      </c>
      <c r="AC67" s="41" t="s">
        <v>266</v>
      </c>
    </row>
    <row r="68" spans="1:29" x14ac:dyDescent="0.25">
      <c r="A68" s="9" t="s">
        <v>193</v>
      </c>
      <c r="B68" s="41" t="str">
        <f t="shared" si="10"/>
        <v>Ratten</v>
      </c>
      <c r="C68" s="41" t="str">
        <f t="shared" ref="C68:C107" si="11">CONCATENATE(B68," (",AC68,") ","[",A68,"]")</f>
        <v>Ratten (Rattus norvegicus) [A2]</v>
      </c>
      <c r="D68" s="60" t="s">
        <v>1653</v>
      </c>
      <c r="E68" s="61" t="s">
        <v>1654</v>
      </c>
      <c r="F68" s="62" t="s">
        <v>1655</v>
      </c>
      <c r="G68" s="61" t="s">
        <v>1656</v>
      </c>
      <c r="H68" s="61" t="s">
        <v>1657</v>
      </c>
      <c r="I68" s="48" t="s">
        <v>231</v>
      </c>
      <c r="J68" s="61" t="s">
        <v>1873</v>
      </c>
      <c r="K68" s="61" t="s">
        <v>1874</v>
      </c>
      <c r="L68" s="61" t="s">
        <v>1875</v>
      </c>
      <c r="M68" s="61" t="s">
        <v>231</v>
      </c>
      <c r="N68" s="61"/>
      <c r="O68" s="61" t="s">
        <v>1876</v>
      </c>
      <c r="P68" s="61" t="s">
        <v>1877</v>
      </c>
      <c r="Q68" s="61" t="s">
        <v>1878</v>
      </c>
      <c r="R68" s="61" t="s">
        <v>1879</v>
      </c>
      <c r="S68" s="61" t="s">
        <v>1880</v>
      </c>
      <c r="T68" s="61" t="s">
        <v>1881</v>
      </c>
      <c r="U68" s="61" t="s">
        <v>1656</v>
      </c>
      <c r="V68" s="62" t="s">
        <v>1882</v>
      </c>
      <c r="W68" s="61" t="s">
        <v>1883</v>
      </c>
      <c r="X68" s="61" t="s">
        <v>1884</v>
      </c>
      <c r="Y68" s="61" t="s">
        <v>1885</v>
      </c>
      <c r="Z68" s="61" t="s">
        <v>1886</v>
      </c>
      <c r="AA68" s="61" t="s">
        <v>1887</v>
      </c>
      <c r="AB68" s="63" t="s">
        <v>1655</v>
      </c>
      <c r="AC68" s="9" t="s">
        <v>267</v>
      </c>
    </row>
    <row r="69" spans="1:29" x14ac:dyDescent="0.25">
      <c r="A69" s="9" t="s">
        <v>194</v>
      </c>
      <c r="B69" s="41" t="str">
        <f t="shared" si="10"/>
        <v>Meerschweinchen</v>
      </c>
      <c r="C69" s="41" t="str">
        <f t="shared" si="11"/>
        <v>Meerschweinchen (Cavia porcellus) [A3]</v>
      </c>
      <c r="D69" s="60" t="s">
        <v>1658</v>
      </c>
      <c r="E69" s="61" t="s">
        <v>1659</v>
      </c>
      <c r="F69" s="62" t="s">
        <v>1660</v>
      </c>
      <c r="G69" s="61" t="s">
        <v>1661</v>
      </c>
      <c r="H69" s="61" t="s">
        <v>1662</v>
      </c>
      <c r="I69" s="48" t="s">
        <v>232</v>
      </c>
      <c r="J69" s="61" t="s">
        <v>1888</v>
      </c>
      <c r="K69" s="61" t="s">
        <v>1889</v>
      </c>
      <c r="L69" s="61" t="s">
        <v>1890</v>
      </c>
      <c r="M69" s="61" t="s">
        <v>1891</v>
      </c>
      <c r="N69" s="61"/>
      <c r="O69" s="61" t="s">
        <v>1892</v>
      </c>
      <c r="P69" s="61" t="s">
        <v>1893</v>
      </c>
      <c r="Q69" s="61" t="s">
        <v>1894</v>
      </c>
      <c r="R69" s="61" t="s">
        <v>1895</v>
      </c>
      <c r="S69" s="61" t="s">
        <v>1896</v>
      </c>
      <c r="T69" s="61" t="s">
        <v>1897</v>
      </c>
      <c r="U69" s="61" t="s">
        <v>1898</v>
      </c>
      <c r="V69" s="62" t="s">
        <v>1899</v>
      </c>
      <c r="W69" s="61" t="s">
        <v>1900</v>
      </c>
      <c r="X69" s="61" t="s">
        <v>1901</v>
      </c>
      <c r="Y69" s="61" t="s">
        <v>1902</v>
      </c>
      <c r="Z69" s="61" t="s">
        <v>1903</v>
      </c>
      <c r="AA69" s="61" t="s">
        <v>1904</v>
      </c>
      <c r="AB69" s="63" t="s">
        <v>1660</v>
      </c>
      <c r="AC69" s="9" t="s">
        <v>268</v>
      </c>
    </row>
    <row r="70" spans="1:29" x14ac:dyDescent="0.25">
      <c r="A70" s="9" t="s">
        <v>195</v>
      </c>
      <c r="B70" s="41" t="str">
        <f t="shared" si="10"/>
        <v>Goldhamster</v>
      </c>
      <c r="C70" s="41" t="str">
        <f t="shared" si="11"/>
        <v>Goldhamster (Mesocricetus auratus) [A4]</v>
      </c>
      <c r="D70" s="60" t="s">
        <v>1663</v>
      </c>
      <c r="E70" s="61" t="s">
        <v>1664</v>
      </c>
      <c r="F70" s="62" t="s">
        <v>1665</v>
      </c>
      <c r="G70" s="61" t="s">
        <v>1666</v>
      </c>
      <c r="H70" s="61" t="s">
        <v>1667</v>
      </c>
      <c r="I70" s="48" t="s">
        <v>233</v>
      </c>
      <c r="J70" s="61" t="s">
        <v>1905</v>
      </c>
      <c r="K70" s="61" t="s">
        <v>1906</v>
      </c>
      <c r="L70" s="61" t="s">
        <v>1907</v>
      </c>
      <c r="M70" s="61" t="s">
        <v>1908</v>
      </c>
      <c r="N70" s="61"/>
      <c r="O70" s="61" t="s">
        <v>1909</v>
      </c>
      <c r="P70" s="61" t="s">
        <v>1910</v>
      </c>
      <c r="Q70" s="61" t="s">
        <v>1911</v>
      </c>
      <c r="R70" s="61" t="s">
        <v>1912</v>
      </c>
      <c r="S70" s="61" t="s">
        <v>1913</v>
      </c>
      <c r="T70" s="61" t="s">
        <v>1914</v>
      </c>
      <c r="U70" s="61" t="s">
        <v>1915</v>
      </c>
      <c r="V70" s="62" t="s">
        <v>1916</v>
      </c>
      <c r="W70" s="61" t="s">
        <v>1917</v>
      </c>
      <c r="X70" s="61" t="s">
        <v>1918</v>
      </c>
      <c r="Y70" s="61" t="s">
        <v>1919</v>
      </c>
      <c r="Z70" s="61" t="s">
        <v>1920</v>
      </c>
      <c r="AA70" s="61" t="s">
        <v>1921</v>
      </c>
      <c r="AB70" s="63" t="s">
        <v>1922</v>
      </c>
      <c r="AC70" s="9" t="s">
        <v>269</v>
      </c>
    </row>
    <row r="71" spans="1:29" x14ac:dyDescent="0.25">
      <c r="A71" s="9" t="s">
        <v>196</v>
      </c>
      <c r="B71" s="41" t="str">
        <f t="shared" si="10"/>
        <v>Chinesische Grauhamster</v>
      </c>
      <c r="C71" s="41" t="str">
        <f t="shared" si="11"/>
        <v>Chinesische Grauhamster (Cricetulus griseus) [A5]</v>
      </c>
      <c r="D71" s="60" t="s">
        <v>1668</v>
      </c>
      <c r="E71" s="61" t="s">
        <v>1669</v>
      </c>
      <c r="F71" s="62" t="s">
        <v>1670</v>
      </c>
      <c r="G71" s="61" t="s">
        <v>1671</v>
      </c>
      <c r="H71" s="61" t="s">
        <v>1672</v>
      </c>
      <c r="I71" s="48" t="s">
        <v>234</v>
      </c>
      <c r="J71" s="61" t="s">
        <v>1923</v>
      </c>
      <c r="K71" s="61" t="s">
        <v>1924</v>
      </c>
      <c r="L71" s="61" t="s">
        <v>1925</v>
      </c>
      <c r="M71" s="61" t="s">
        <v>1926</v>
      </c>
      <c r="N71" s="61"/>
      <c r="O71" s="61" t="s">
        <v>1927</v>
      </c>
      <c r="P71" s="61" t="s">
        <v>1928</v>
      </c>
      <c r="Q71" s="61" t="s">
        <v>1929</v>
      </c>
      <c r="R71" s="61" t="s">
        <v>1930</v>
      </c>
      <c r="S71" s="61" t="s">
        <v>1931</v>
      </c>
      <c r="T71" s="61" t="s">
        <v>1932</v>
      </c>
      <c r="U71" s="61" t="s">
        <v>1933</v>
      </c>
      <c r="V71" s="62" t="s">
        <v>1934</v>
      </c>
      <c r="W71" s="61" t="s">
        <v>1935</v>
      </c>
      <c r="X71" s="61" t="s">
        <v>1936</v>
      </c>
      <c r="Y71" s="61" t="s">
        <v>1937</v>
      </c>
      <c r="Z71" s="61" t="s">
        <v>1938</v>
      </c>
      <c r="AA71" s="61" t="s">
        <v>1939</v>
      </c>
      <c r="AB71" s="63" t="s">
        <v>1670</v>
      </c>
      <c r="AC71" s="9" t="s">
        <v>270</v>
      </c>
    </row>
    <row r="72" spans="1:29" x14ac:dyDescent="0.25">
      <c r="A72" s="9" t="s">
        <v>197</v>
      </c>
      <c r="B72" s="41" t="str">
        <f t="shared" si="10"/>
        <v>Mongolische Rennmäuse</v>
      </c>
      <c r="C72" s="41" t="str">
        <f t="shared" si="11"/>
        <v>Mongolische Rennmäuse (Meriones unguiculatus) [A6]</v>
      </c>
      <c r="D72" s="60" t="s">
        <v>1673</v>
      </c>
      <c r="E72" s="61" t="s">
        <v>1674</v>
      </c>
      <c r="F72" s="62" t="s">
        <v>1675</v>
      </c>
      <c r="G72" s="61" t="s">
        <v>1676</v>
      </c>
      <c r="H72" s="61" t="s">
        <v>1677</v>
      </c>
      <c r="I72" s="48" t="s">
        <v>235</v>
      </c>
      <c r="J72" s="61" t="s">
        <v>1940</v>
      </c>
      <c r="K72" s="61" t="s">
        <v>1941</v>
      </c>
      <c r="L72" s="61" t="s">
        <v>1942</v>
      </c>
      <c r="M72" s="61" t="s">
        <v>1943</v>
      </c>
      <c r="N72" s="61"/>
      <c r="O72" s="61" t="s">
        <v>1944</v>
      </c>
      <c r="P72" s="61" t="s">
        <v>1945</v>
      </c>
      <c r="Q72" s="61" t="s">
        <v>1946</v>
      </c>
      <c r="R72" s="61" t="s">
        <v>1947</v>
      </c>
      <c r="S72" s="61" t="s">
        <v>1948</v>
      </c>
      <c r="T72" s="61" t="s">
        <v>1949</v>
      </c>
      <c r="U72" s="61" t="s">
        <v>1950</v>
      </c>
      <c r="V72" s="62" t="s">
        <v>1951</v>
      </c>
      <c r="W72" s="61" t="s">
        <v>1952</v>
      </c>
      <c r="X72" s="61" t="s">
        <v>1953</v>
      </c>
      <c r="Y72" s="61" t="s">
        <v>1954</v>
      </c>
      <c r="Z72" s="61" t="s">
        <v>1955</v>
      </c>
      <c r="AA72" s="61" t="s">
        <v>1956</v>
      </c>
      <c r="AB72" s="63" t="s">
        <v>1675</v>
      </c>
      <c r="AC72" s="9" t="s">
        <v>271</v>
      </c>
    </row>
    <row r="73" spans="1:29" x14ac:dyDescent="0.25">
      <c r="A73" s="9" t="s">
        <v>198</v>
      </c>
      <c r="B73" s="41" t="str">
        <f t="shared" si="10"/>
        <v>Andere Nager</v>
      </c>
      <c r="C73" s="41" t="str">
        <f t="shared" si="11"/>
        <v>Andere Nager (other Rodentia) [A7]</v>
      </c>
      <c r="D73" s="60" t="s">
        <v>1678</v>
      </c>
      <c r="E73" s="61" t="s">
        <v>1679</v>
      </c>
      <c r="F73" s="62" t="s">
        <v>1680</v>
      </c>
      <c r="G73" s="61" t="s">
        <v>1681</v>
      </c>
      <c r="H73" s="61" t="s">
        <v>1682</v>
      </c>
      <c r="I73" s="48" t="s">
        <v>236</v>
      </c>
      <c r="J73" s="61" t="s">
        <v>1957</v>
      </c>
      <c r="K73" s="61" t="s">
        <v>1958</v>
      </c>
      <c r="L73" s="61" t="s">
        <v>1959</v>
      </c>
      <c r="M73" s="61" t="s">
        <v>1960</v>
      </c>
      <c r="N73" s="61"/>
      <c r="O73" s="61" t="s">
        <v>1961</v>
      </c>
      <c r="P73" s="61" t="s">
        <v>1962</v>
      </c>
      <c r="Q73" s="61" t="s">
        <v>1963</v>
      </c>
      <c r="R73" s="61" t="s">
        <v>1964</v>
      </c>
      <c r="S73" s="61" t="s">
        <v>1965</v>
      </c>
      <c r="T73" s="61" t="s">
        <v>1966</v>
      </c>
      <c r="U73" s="61" t="s">
        <v>1967</v>
      </c>
      <c r="V73" s="62" t="s">
        <v>1968</v>
      </c>
      <c r="W73" s="61" t="s">
        <v>1969</v>
      </c>
      <c r="X73" s="61" t="s">
        <v>1970</v>
      </c>
      <c r="Y73" s="61" t="s">
        <v>1971</v>
      </c>
      <c r="Z73" s="61" t="s">
        <v>1961</v>
      </c>
      <c r="AA73" s="61" t="s">
        <v>1972</v>
      </c>
      <c r="AB73" s="63" t="s">
        <v>1973</v>
      </c>
      <c r="AC73" s="9" t="s">
        <v>272</v>
      </c>
    </row>
    <row r="74" spans="1:29" x14ac:dyDescent="0.25">
      <c r="A74" s="9" t="s">
        <v>199</v>
      </c>
      <c r="B74" s="41" t="str">
        <f t="shared" si="10"/>
        <v>Kaninchen</v>
      </c>
      <c r="C74" s="41" t="str">
        <f t="shared" si="11"/>
        <v>Kaninchen (Oryctolagus cuniculus) [A8]</v>
      </c>
      <c r="D74" s="60" t="s">
        <v>1683</v>
      </c>
      <c r="E74" s="61" t="s">
        <v>1684</v>
      </c>
      <c r="F74" s="62" t="s">
        <v>1685</v>
      </c>
      <c r="G74" s="61" t="s">
        <v>1686</v>
      </c>
      <c r="H74" s="61" t="s">
        <v>1687</v>
      </c>
      <c r="I74" s="48" t="s">
        <v>237</v>
      </c>
      <c r="J74" s="61" t="s">
        <v>1974</v>
      </c>
      <c r="K74" s="61" t="s">
        <v>1975</v>
      </c>
      <c r="L74" s="61" t="s">
        <v>1976</v>
      </c>
      <c r="M74" s="61" t="s">
        <v>1977</v>
      </c>
      <c r="N74" s="61"/>
      <c r="O74" s="61" t="s">
        <v>1978</v>
      </c>
      <c r="P74" s="61" t="s">
        <v>1979</v>
      </c>
      <c r="Q74" s="61" t="s">
        <v>1980</v>
      </c>
      <c r="R74" s="61" t="s">
        <v>1981</v>
      </c>
      <c r="S74" s="61" t="s">
        <v>1982</v>
      </c>
      <c r="T74" s="61" t="s">
        <v>1983</v>
      </c>
      <c r="U74" s="61" t="s">
        <v>1984</v>
      </c>
      <c r="V74" s="62" t="s">
        <v>1985</v>
      </c>
      <c r="W74" s="61" t="s">
        <v>1986</v>
      </c>
      <c r="X74" s="61" t="s">
        <v>1987</v>
      </c>
      <c r="Y74" s="61" t="s">
        <v>1988</v>
      </c>
      <c r="Z74" s="61" t="s">
        <v>1989</v>
      </c>
      <c r="AA74" s="61" t="s">
        <v>1990</v>
      </c>
      <c r="AB74" s="63" t="s">
        <v>1685</v>
      </c>
      <c r="AC74" s="9" t="s">
        <v>273</v>
      </c>
    </row>
    <row r="75" spans="1:29" x14ac:dyDescent="0.25">
      <c r="A75" s="9" t="s">
        <v>200</v>
      </c>
      <c r="B75" s="41" t="str">
        <f t="shared" si="10"/>
        <v>Katzen</v>
      </c>
      <c r="C75" s="41" t="str">
        <f t="shared" si="11"/>
        <v>Katzen (Felis catus) [A9]</v>
      </c>
      <c r="D75" s="60" t="s">
        <v>1688</v>
      </c>
      <c r="E75" s="61" t="s">
        <v>1689</v>
      </c>
      <c r="F75" s="62" t="s">
        <v>1690</v>
      </c>
      <c r="G75" s="61" t="s">
        <v>1691</v>
      </c>
      <c r="H75" s="61" t="s">
        <v>1692</v>
      </c>
      <c r="I75" s="48" t="s">
        <v>238</v>
      </c>
      <c r="J75" s="61" t="s">
        <v>1991</v>
      </c>
      <c r="K75" s="61" t="s">
        <v>1992</v>
      </c>
      <c r="L75" s="61" t="s">
        <v>1993</v>
      </c>
      <c r="M75" s="61" t="s">
        <v>1994</v>
      </c>
      <c r="N75" s="61"/>
      <c r="O75" s="61" t="s">
        <v>1995</v>
      </c>
      <c r="P75" s="61" t="s">
        <v>1996</v>
      </c>
      <c r="Q75" s="61" t="s">
        <v>1997</v>
      </c>
      <c r="R75" s="61" t="s">
        <v>1998</v>
      </c>
      <c r="S75" s="61" t="s">
        <v>1999</v>
      </c>
      <c r="T75" s="61" t="s">
        <v>2000</v>
      </c>
      <c r="U75" s="61" t="s">
        <v>2001</v>
      </c>
      <c r="V75" s="62" t="s">
        <v>2002</v>
      </c>
      <c r="W75" s="61" t="s">
        <v>2003</v>
      </c>
      <c r="X75" s="61" t="s">
        <v>2004</v>
      </c>
      <c r="Y75" s="61" t="s">
        <v>2005</v>
      </c>
      <c r="Z75" s="61" t="s">
        <v>1995</v>
      </c>
      <c r="AA75" s="61" t="s">
        <v>2006</v>
      </c>
      <c r="AB75" s="63" t="s">
        <v>2007</v>
      </c>
      <c r="AC75" s="9" t="s">
        <v>274</v>
      </c>
    </row>
    <row r="76" spans="1:29" x14ac:dyDescent="0.25">
      <c r="A76" s="9" t="s">
        <v>201</v>
      </c>
      <c r="B76" s="41" t="str">
        <f t="shared" si="10"/>
        <v>Hunde</v>
      </c>
      <c r="C76" s="41" t="str">
        <f t="shared" si="11"/>
        <v>Hunde (Canis familiaris) [A10]</v>
      </c>
      <c r="D76" s="60" t="s">
        <v>1693</v>
      </c>
      <c r="E76" s="61" t="s">
        <v>1694</v>
      </c>
      <c r="F76" s="62" t="s">
        <v>1695</v>
      </c>
      <c r="G76" s="61" t="s">
        <v>1696</v>
      </c>
      <c r="H76" s="61" t="s">
        <v>1697</v>
      </c>
      <c r="I76" s="48" t="s">
        <v>239</v>
      </c>
      <c r="J76" s="61" t="s">
        <v>2008</v>
      </c>
      <c r="K76" s="61" t="s">
        <v>2009</v>
      </c>
      <c r="L76" s="61" t="s">
        <v>2010</v>
      </c>
      <c r="M76" s="61" t="s">
        <v>2011</v>
      </c>
      <c r="N76" s="61"/>
      <c r="O76" s="61" t="s">
        <v>2012</v>
      </c>
      <c r="P76" s="61" t="s">
        <v>2013</v>
      </c>
      <c r="Q76" s="61" t="s">
        <v>2014</v>
      </c>
      <c r="R76" s="61" t="s">
        <v>2015</v>
      </c>
      <c r="S76" s="61" t="s">
        <v>2016</v>
      </c>
      <c r="T76" s="61" t="s">
        <v>2017</v>
      </c>
      <c r="U76" s="61" t="s">
        <v>2018</v>
      </c>
      <c r="V76" s="62" t="s">
        <v>2019</v>
      </c>
      <c r="W76" s="61" t="s">
        <v>2020</v>
      </c>
      <c r="X76" s="61" t="s">
        <v>2021</v>
      </c>
      <c r="Y76" s="61" t="s">
        <v>2019</v>
      </c>
      <c r="Z76" s="61" t="s">
        <v>2012</v>
      </c>
      <c r="AA76" s="61" t="s">
        <v>2022</v>
      </c>
      <c r="AB76" s="63" t="s">
        <v>1695</v>
      </c>
      <c r="AC76" s="9" t="s">
        <v>275</v>
      </c>
    </row>
    <row r="77" spans="1:29" x14ac:dyDescent="0.25">
      <c r="A77" s="9" t="s">
        <v>202</v>
      </c>
      <c r="B77" s="41" t="str">
        <f t="shared" si="10"/>
        <v>Frettchen</v>
      </c>
      <c r="C77" s="41" t="str">
        <f t="shared" si="11"/>
        <v>Frettchen (Mustela putorius furo) [A11]</v>
      </c>
      <c r="D77" s="60" t="s">
        <v>1698</v>
      </c>
      <c r="E77" s="61" t="s">
        <v>1699</v>
      </c>
      <c r="F77" s="62" t="s">
        <v>1700</v>
      </c>
      <c r="G77" s="61" t="s">
        <v>1701</v>
      </c>
      <c r="H77" s="61" t="s">
        <v>1702</v>
      </c>
      <c r="I77" s="48" t="s">
        <v>240</v>
      </c>
      <c r="J77" s="61" t="s">
        <v>2023</v>
      </c>
      <c r="K77" s="61" t="s">
        <v>2024</v>
      </c>
      <c r="L77" s="61" t="s">
        <v>2025</v>
      </c>
      <c r="M77" s="61" t="s">
        <v>2026</v>
      </c>
      <c r="N77" s="61"/>
      <c r="O77" s="61" t="s">
        <v>2027</v>
      </c>
      <c r="P77" s="61" t="s">
        <v>2028</v>
      </c>
      <c r="Q77" s="61" t="s">
        <v>2029</v>
      </c>
      <c r="R77" s="61" t="s">
        <v>2030</v>
      </c>
      <c r="S77" s="61" t="s">
        <v>2031</v>
      </c>
      <c r="T77" s="61" t="s">
        <v>2032</v>
      </c>
      <c r="U77" s="61" t="s">
        <v>2033</v>
      </c>
      <c r="V77" s="62" t="s">
        <v>2034</v>
      </c>
      <c r="W77" s="61" t="s">
        <v>2035</v>
      </c>
      <c r="X77" s="61" t="s">
        <v>2036</v>
      </c>
      <c r="Y77" s="61" t="s">
        <v>2037</v>
      </c>
      <c r="Z77" s="61" t="s">
        <v>2038</v>
      </c>
      <c r="AA77" s="61" t="s">
        <v>2039</v>
      </c>
      <c r="AB77" s="63" t="s">
        <v>2040</v>
      </c>
      <c r="AC77" s="9" t="s">
        <v>276</v>
      </c>
    </row>
    <row r="78" spans="1:29" x14ac:dyDescent="0.25">
      <c r="A78" s="9" t="s">
        <v>203</v>
      </c>
      <c r="B78" s="41" t="str">
        <f t="shared" si="10"/>
        <v>Andere Fleischfresser</v>
      </c>
      <c r="C78" s="41" t="str">
        <f t="shared" si="11"/>
        <v>Andere Fleischfresser (other Carnivora) [A12]</v>
      </c>
      <c r="D78" s="60" t="s">
        <v>1703</v>
      </c>
      <c r="E78" s="61" t="s">
        <v>1704</v>
      </c>
      <c r="F78" s="62" t="s">
        <v>1705</v>
      </c>
      <c r="G78" s="61" t="s">
        <v>1706</v>
      </c>
      <c r="H78" s="61" t="s">
        <v>1707</v>
      </c>
      <c r="I78" s="48" t="s">
        <v>241</v>
      </c>
      <c r="J78" s="61" t="s">
        <v>2041</v>
      </c>
      <c r="K78" s="61" t="s">
        <v>2042</v>
      </c>
      <c r="L78" s="61" t="s">
        <v>2043</v>
      </c>
      <c r="M78" s="61" t="s">
        <v>2044</v>
      </c>
      <c r="N78" s="61"/>
      <c r="O78" s="61" t="s">
        <v>2045</v>
      </c>
      <c r="P78" s="61" t="s">
        <v>2046</v>
      </c>
      <c r="Q78" s="61" t="s">
        <v>2047</v>
      </c>
      <c r="R78" s="61" t="s">
        <v>2048</v>
      </c>
      <c r="S78" s="61" t="s">
        <v>2049</v>
      </c>
      <c r="T78" s="61" t="s">
        <v>2050</v>
      </c>
      <c r="U78" s="61" t="s">
        <v>2051</v>
      </c>
      <c r="V78" s="62" t="s">
        <v>2052</v>
      </c>
      <c r="W78" s="61" t="s">
        <v>2053</v>
      </c>
      <c r="X78" s="61" t="s">
        <v>2054</v>
      </c>
      <c r="Y78" s="61" t="s">
        <v>2055</v>
      </c>
      <c r="Z78" s="61" t="s">
        <v>2056</v>
      </c>
      <c r="AA78" s="61" t="s">
        <v>2057</v>
      </c>
      <c r="AB78" s="63" t="s">
        <v>2058</v>
      </c>
      <c r="AC78" s="9" t="s">
        <v>277</v>
      </c>
    </row>
    <row r="79" spans="1:29" x14ac:dyDescent="0.25">
      <c r="A79" s="9" t="s">
        <v>204</v>
      </c>
      <c r="B79" s="41" t="str">
        <f t="shared" si="10"/>
        <v>Pferde, Esel und Kreuzungen</v>
      </c>
      <c r="C79" s="41" t="str">
        <f t="shared" si="11"/>
        <v>Pferde, Esel und Kreuzungen (Equidae) [A13]</v>
      </c>
      <c r="D79" s="60" t="s">
        <v>1708</v>
      </c>
      <c r="E79" s="61" t="s">
        <v>1709</v>
      </c>
      <c r="F79" s="62" t="s">
        <v>1710</v>
      </c>
      <c r="G79" s="61" t="s">
        <v>1711</v>
      </c>
      <c r="H79" s="61" t="s">
        <v>1712</v>
      </c>
      <c r="I79" s="48" t="s">
        <v>242</v>
      </c>
      <c r="J79" s="61" t="s">
        <v>2059</v>
      </c>
      <c r="K79" s="61" t="s">
        <v>2060</v>
      </c>
      <c r="L79" s="61" t="s">
        <v>2061</v>
      </c>
      <c r="M79" s="61" t="s">
        <v>2062</v>
      </c>
      <c r="N79" s="61"/>
      <c r="O79" s="61" t="s">
        <v>2063</v>
      </c>
      <c r="P79" s="61" t="s">
        <v>2064</v>
      </c>
      <c r="Q79" s="61" t="s">
        <v>2065</v>
      </c>
      <c r="R79" s="61" t="s">
        <v>2066</v>
      </c>
      <c r="S79" s="61" t="s">
        <v>2067</v>
      </c>
      <c r="T79" s="61" t="s">
        <v>2068</v>
      </c>
      <c r="U79" s="61" t="s">
        <v>2069</v>
      </c>
      <c r="V79" s="62" t="s">
        <v>2070</v>
      </c>
      <c r="W79" s="61" t="s">
        <v>2071</v>
      </c>
      <c r="X79" s="61" t="s">
        <v>2072</v>
      </c>
      <c r="Y79" s="61" t="s">
        <v>2073</v>
      </c>
      <c r="Z79" s="61" t="s">
        <v>2074</v>
      </c>
      <c r="AA79" s="61" t="s">
        <v>2075</v>
      </c>
      <c r="AB79" s="63" t="s">
        <v>2076</v>
      </c>
      <c r="AC79" s="9" t="s">
        <v>278</v>
      </c>
    </row>
    <row r="80" spans="1:29" x14ac:dyDescent="0.25">
      <c r="A80" s="9" t="s">
        <v>205</v>
      </c>
      <c r="B80" s="41" t="str">
        <f t="shared" si="10"/>
        <v>Schweine</v>
      </c>
      <c r="C80" s="41" t="str">
        <f t="shared" si="11"/>
        <v>Schweine (Sus scrofa domesticus) [A14]</v>
      </c>
      <c r="D80" s="60" t="s">
        <v>1713</v>
      </c>
      <c r="E80" s="61" t="s">
        <v>1714</v>
      </c>
      <c r="F80" s="62" t="s">
        <v>1715</v>
      </c>
      <c r="G80" s="61" t="s">
        <v>1716</v>
      </c>
      <c r="H80" s="61" t="s">
        <v>1717</v>
      </c>
      <c r="I80" s="48" t="s">
        <v>243</v>
      </c>
      <c r="J80" s="61" t="s">
        <v>2077</v>
      </c>
      <c r="K80" s="61" t="s">
        <v>2078</v>
      </c>
      <c r="L80" s="61" t="s">
        <v>2079</v>
      </c>
      <c r="M80" s="61" t="s">
        <v>2080</v>
      </c>
      <c r="N80" s="61"/>
      <c r="O80" s="61" t="s">
        <v>2081</v>
      </c>
      <c r="P80" s="61" t="s">
        <v>2082</v>
      </c>
      <c r="Q80" s="61" t="s">
        <v>2083</v>
      </c>
      <c r="R80" s="61" t="s">
        <v>2084</v>
      </c>
      <c r="S80" s="61" t="s">
        <v>2085</v>
      </c>
      <c r="T80" s="61" t="s">
        <v>2086</v>
      </c>
      <c r="U80" s="61" t="s">
        <v>2087</v>
      </c>
      <c r="V80" s="62" t="s">
        <v>2088</v>
      </c>
      <c r="W80" s="61" t="s">
        <v>2089</v>
      </c>
      <c r="X80" s="61" t="s">
        <v>2090</v>
      </c>
      <c r="Y80" s="61" t="s">
        <v>2091</v>
      </c>
      <c r="Z80" s="61" t="s">
        <v>2092</v>
      </c>
      <c r="AA80" s="61" t="s">
        <v>2093</v>
      </c>
      <c r="AB80" s="63" t="s">
        <v>2094</v>
      </c>
      <c r="AC80" s="9" t="s">
        <v>279</v>
      </c>
    </row>
    <row r="81" spans="1:29" x14ac:dyDescent="0.25">
      <c r="A81" s="9" t="s">
        <v>206</v>
      </c>
      <c r="B81" s="41" t="str">
        <f t="shared" si="10"/>
        <v>Ziegen</v>
      </c>
      <c r="C81" s="41" t="str">
        <f t="shared" si="11"/>
        <v>Ziegen (Capra aegagrus hircus) [A15]</v>
      </c>
      <c r="D81" s="60" t="s">
        <v>1718</v>
      </c>
      <c r="E81" s="61" t="s">
        <v>1719</v>
      </c>
      <c r="F81" s="62" t="s">
        <v>1720</v>
      </c>
      <c r="G81" s="61" t="s">
        <v>1721</v>
      </c>
      <c r="H81" s="61" t="s">
        <v>1722</v>
      </c>
      <c r="I81" s="48" t="s">
        <v>244</v>
      </c>
      <c r="J81" s="61" t="s">
        <v>2095</v>
      </c>
      <c r="K81" s="61" t="s">
        <v>2096</v>
      </c>
      <c r="L81" s="61" t="s">
        <v>2097</v>
      </c>
      <c r="M81" s="61" t="s">
        <v>2098</v>
      </c>
      <c r="N81" s="61"/>
      <c r="O81" s="61" t="s">
        <v>2099</v>
      </c>
      <c r="P81" s="61" t="s">
        <v>2100</v>
      </c>
      <c r="Q81" s="61" t="s">
        <v>2101</v>
      </c>
      <c r="R81" s="61" t="s">
        <v>2102</v>
      </c>
      <c r="S81" s="61" t="s">
        <v>2103</v>
      </c>
      <c r="T81" s="61" t="s">
        <v>2104</v>
      </c>
      <c r="U81" s="61" t="s">
        <v>2105</v>
      </c>
      <c r="V81" s="62" t="s">
        <v>2106</v>
      </c>
      <c r="W81" s="61" t="s">
        <v>2107</v>
      </c>
      <c r="X81" s="61" t="s">
        <v>2108</v>
      </c>
      <c r="Y81" s="61" t="s">
        <v>2106</v>
      </c>
      <c r="Z81" s="61" t="s">
        <v>2099</v>
      </c>
      <c r="AA81" s="61" t="s">
        <v>2109</v>
      </c>
      <c r="AB81" s="63" t="s">
        <v>2110</v>
      </c>
      <c r="AC81" s="9" t="s">
        <v>280</v>
      </c>
    </row>
    <row r="82" spans="1:29" x14ac:dyDescent="0.25">
      <c r="A82" s="9" t="s">
        <v>207</v>
      </c>
      <c r="B82" s="41" t="str">
        <f t="shared" si="10"/>
        <v>Schafe</v>
      </c>
      <c r="C82" s="41" t="str">
        <f t="shared" si="11"/>
        <v>Schafe (Ovis aries) [A16]</v>
      </c>
      <c r="D82" s="60" t="s">
        <v>1723</v>
      </c>
      <c r="E82" s="61" t="s">
        <v>1724</v>
      </c>
      <c r="F82" s="62" t="s">
        <v>1725</v>
      </c>
      <c r="G82" s="61" t="s">
        <v>1726</v>
      </c>
      <c r="H82" s="61" t="s">
        <v>1727</v>
      </c>
      <c r="I82" s="48" t="s">
        <v>245</v>
      </c>
      <c r="J82" s="61" t="s">
        <v>2111</v>
      </c>
      <c r="K82" s="61" t="s">
        <v>2112</v>
      </c>
      <c r="L82" s="61" t="s">
        <v>2113</v>
      </c>
      <c r="M82" s="61" t="s">
        <v>2114</v>
      </c>
      <c r="N82" s="61"/>
      <c r="O82" s="61" t="s">
        <v>2115</v>
      </c>
      <c r="P82" s="61" t="s">
        <v>2116</v>
      </c>
      <c r="Q82" s="61" t="s">
        <v>2117</v>
      </c>
      <c r="R82" s="61" t="s">
        <v>2118</v>
      </c>
      <c r="S82" s="61" t="s">
        <v>2119</v>
      </c>
      <c r="T82" s="61" t="s">
        <v>2120</v>
      </c>
      <c r="U82" s="61" t="s">
        <v>2121</v>
      </c>
      <c r="V82" s="62" t="s">
        <v>2122</v>
      </c>
      <c r="W82" s="61" t="s">
        <v>2123</v>
      </c>
      <c r="X82" s="61" t="s">
        <v>2124</v>
      </c>
      <c r="Y82" s="61" t="s">
        <v>2115</v>
      </c>
      <c r="Z82" s="61" t="s">
        <v>2115</v>
      </c>
      <c r="AA82" s="61" t="s">
        <v>2125</v>
      </c>
      <c r="AB82" s="63" t="s">
        <v>2126</v>
      </c>
      <c r="AC82" s="9" t="s">
        <v>281</v>
      </c>
    </row>
    <row r="83" spans="1:29" x14ac:dyDescent="0.25">
      <c r="A83" s="9" t="s">
        <v>208</v>
      </c>
      <c r="B83" s="41" t="str">
        <f t="shared" si="10"/>
        <v>Rinder</v>
      </c>
      <c r="C83" s="41" t="str">
        <f t="shared" si="11"/>
        <v>Rinder (Bos taurus) [A17]</v>
      </c>
      <c r="D83" s="60" t="s">
        <v>1728</v>
      </c>
      <c r="E83" s="61" t="s">
        <v>1729</v>
      </c>
      <c r="F83" s="62" t="s">
        <v>1730</v>
      </c>
      <c r="G83" s="61" t="s">
        <v>1731</v>
      </c>
      <c r="H83" s="61" t="s">
        <v>1732</v>
      </c>
      <c r="I83" s="48" t="s">
        <v>246</v>
      </c>
      <c r="J83" s="61" t="s">
        <v>2127</v>
      </c>
      <c r="K83" s="61" t="s">
        <v>2128</v>
      </c>
      <c r="L83" s="61" t="s">
        <v>2129</v>
      </c>
      <c r="M83" s="61" t="s">
        <v>2130</v>
      </c>
      <c r="N83" s="61"/>
      <c r="O83" s="61" t="s">
        <v>2131</v>
      </c>
      <c r="P83" s="61" t="s">
        <v>2132</v>
      </c>
      <c r="Q83" s="61" t="s">
        <v>2133</v>
      </c>
      <c r="R83" s="61" t="s">
        <v>2134</v>
      </c>
      <c r="S83" s="61" t="s">
        <v>2135</v>
      </c>
      <c r="T83" s="61" t="s">
        <v>2136</v>
      </c>
      <c r="U83" s="61" t="s">
        <v>2137</v>
      </c>
      <c r="V83" s="62" t="s">
        <v>2138</v>
      </c>
      <c r="W83" s="61" t="s">
        <v>2127</v>
      </c>
      <c r="X83" s="61" t="s">
        <v>2139</v>
      </c>
      <c r="Y83" s="61" t="s">
        <v>2140</v>
      </c>
      <c r="Z83" s="61" t="s">
        <v>2141</v>
      </c>
      <c r="AA83" s="61" t="s">
        <v>2142</v>
      </c>
      <c r="AB83" s="63" t="s">
        <v>2143</v>
      </c>
      <c r="AC83" s="9" t="s">
        <v>371</v>
      </c>
    </row>
    <row r="84" spans="1:29" x14ac:dyDescent="0.25">
      <c r="A84" s="9" t="s">
        <v>209</v>
      </c>
      <c r="B84" s="41" t="str">
        <f t="shared" si="10"/>
        <v>Halbaffen</v>
      </c>
      <c r="C84" s="41" t="str">
        <f t="shared" si="11"/>
        <v>Halbaffen (Prosimia) [A18]</v>
      </c>
      <c r="D84" s="60" t="s">
        <v>1733</v>
      </c>
      <c r="E84" s="61" t="s">
        <v>1734</v>
      </c>
      <c r="F84" s="62" t="s">
        <v>1735</v>
      </c>
      <c r="G84" s="61" t="s">
        <v>1736</v>
      </c>
      <c r="H84" s="61" t="s">
        <v>1737</v>
      </c>
      <c r="I84" s="48" t="s">
        <v>247</v>
      </c>
      <c r="J84" s="61" t="s">
        <v>2144</v>
      </c>
      <c r="K84" s="61" t="s">
        <v>2145</v>
      </c>
      <c r="L84" s="61" t="s">
        <v>2146</v>
      </c>
      <c r="M84" s="61" t="s">
        <v>2147</v>
      </c>
      <c r="N84" s="61"/>
      <c r="O84" s="61" t="s">
        <v>2148</v>
      </c>
      <c r="P84" s="61" t="s">
        <v>2149</v>
      </c>
      <c r="Q84" s="61" t="s">
        <v>2150</v>
      </c>
      <c r="R84" s="61" t="s">
        <v>2151</v>
      </c>
      <c r="S84" s="61" t="s">
        <v>2152</v>
      </c>
      <c r="T84" s="61" t="s">
        <v>2153</v>
      </c>
      <c r="U84" s="61" t="s">
        <v>2154</v>
      </c>
      <c r="V84" s="62" t="s">
        <v>2155</v>
      </c>
      <c r="W84" s="61" t="s">
        <v>2156</v>
      </c>
      <c r="X84" s="61" t="s">
        <v>2157</v>
      </c>
      <c r="Y84" s="61" t="s">
        <v>2158</v>
      </c>
      <c r="Z84" s="61" t="s">
        <v>2159</v>
      </c>
      <c r="AA84" s="61" t="s">
        <v>2160</v>
      </c>
      <c r="AB84" s="63" t="s">
        <v>2161</v>
      </c>
      <c r="AC84" s="9" t="s">
        <v>282</v>
      </c>
    </row>
    <row r="85" spans="1:29" x14ac:dyDescent="0.25">
      <c r="A85" s="9" t="s">
        <v>210</v>
      </c>
      <c r="B85" s="41" t="str">
        <f t="shared" si="10"/>
        <v>Marmosetten und Tamarine</v>
      </c>
      <c r="C85" s="41" t="str">
        <f t="shared" si="11"/>
        <v>Marmosetten und Tamarine (Callithrix jacchus) [A19]</v>
      </c>
      <c r="D85" s="60" t="s">
        <v>1738</v>
      </c>
      <c r="E85" s="61" t="s">
        <v>1739</v>
      </c>
      <c r="F85" s="62" t="s">
        <v>1740</v>
      </c>
      <c r="G85" s="61" t="s">
        <v>1741</v>
      </c>
      <c r="H85" s="61" t="s">
        <v>1742</v>
      </c>
      <c r="I85" s="48" t="s">
        <v>248</v>
      </c>
      <c r="J85" s="61" t="s">
        <v>2162</v>
      </c>
      <c r="K85" s="61" t="s">
        <v>2163</v>
      </c>
      <c r="L85" s="61" t="s">
        <v>2164</v>
      </c>
      <c r="M85" s="61" t="s">
        <v>2165</v>
      </c>
      <c r="N85" s="61"/>
      <c r="O85" s="61" t="s">
        <v>2166</v>
      </c>
      <c r="P85" s="61" t="s">
        <v>2167</v>
      </c>
      <c r="Q85" s="61" t="s">
        <v>2168</v>
      </c>
      <c r="R85" s="61" t="s">
        <v>2169</v>
      </c>
      <c r="S85" s="61" t="s">
        <v>2170</v>
      </c>
      <c r="T85" s="61" t="s">
        <v>2171</v>
      </c>
      <c r="U85" s="61" t="s">
        <v>2172</v>
      </c>
      <c r="V85" s="62" t="s">
        <v>2173</v>
      </c>
      <c r="W85" s="61" t="s">
        <v>2174</v>
      </c>
      <c r="X85" s="61" t="s">
        <v>2175</v>
      </c>
      <c r="Y85" s="61" t="s">
        <v>2176</v>
      </c>
      <c r="Z85" s="61" t="s">
        <v>2177</v>
      </c>
      <c r="AA85" s="61" t="s">
        <v>2178</v>
      </c>
      <c r="AB85" s="63" t="s">
        <v>2179</v>
      </c>
      <c r="AC85" s="9" t="s">
        <v>283</v>
      </c>
    </row>
    <row r="86" spans="1:29" x14ac:dyDescent="0.25">
      <c r="A86" s="9" t="s">
        <v>211</v>
      </c>
      <c r="B86" s="41" t="str">
        <f t="shared" si="10"/>
        <v>Javaneraffen</v>
      </c>
      <c r="C86" s="41" t="str">
        <f t="shared" si="11"/>
        <v>Javaneraffen (Macaca fascicularis) [A20]</v>
      </c>
      <c r="D86" s="60" t="s">
        <v>1743</v>
      </c>
      <c r="E86" s="61" t="s">
        <v>1744</v>
      </c>
      <c r="F86" s="62" t="s">
        <v>1745</v>
      </c>
      <c r="G86" s="61" t="s">
        <v>1746</v>
      </c>
      <c r="H86" s="61" t="s">
        <v>1747</v>
      </c>
      <c r="I86" s="48" t="s">
        <v>249</v>
      </c>
      <c r="J86" s="61" t="s">
        <v>2180</v>
      </c>
      <c r="K86" s="61" t="s">
        <v>2181</v>
      </c>
      <c r="L86" s="61" t="s">
        <v>2182</v>
      </c>
      <c r="M86" s="61" t="s">
        <v>2183</v>
      </c>
      <c r="N86" s="61"/>
      <c r="O86" s="61" t="s">
        <v>2184</v>
      </c>
      <c r="P86" s="61" t="s">
        <v>2185</v>
      </c>
      <c r="Q86" s="61" t="s">
        <v>2186</v>
      </c>
      <c r="R86" s="61" t="s">
        <v>2187</v>
      </c>
      <c r="S86" s="61" t="s">
        <v>2188</v>
      </c>
      <c r="T86" s="61" t="s">
        <v>2189</v>
      </c>
      <c r="U86" s="61" t="s">
        <v>2190</v>
      </c>
      <c r="V86" s="62" t="s">
        <v>2191</v>
      </c>
      <c r="W86" s="61" t="s">
        <v>2192</v>
      </c>
      <c r="X86" s="61" t="s">
        <v>2193</v>
      </c>
      <c r="Y86" s="61" t="s">
        <v>2194</v>
      </c>
      <c r="Z86" s="61" t="s">
        <v>2195</v>
      </c>
      <c r="AA86" s="61" t="s">
        <v>2196</v>
      </c>
      <c r="AB86" s="63" t="s">
        <v>2197</v>
      </c>
      <c r="AC86" s="9" t="s">
        <v>284</v>
      </c>
    </row>
    <row r="87" spans="1:29" x14ac:dyDescent="0.25">
      <c r="A87" s="9" t="s">
        <v>212</v>
      </c>
      <c r="B87" s="41" t="str">
        <f t="shared" si="10"/>
        <v>Rhesusaffen</v>
      </c>
      <c r="C87" s="41" t="str">
        <f t="shared" si="11"/>
        <v>Rhesusaffen (Macaca mulatta) [A21]</v>
      </c>
      <c r="D87" s="60" t="s">
        <v>1748</v>
      </c>
      <c r="E87" s="61" t="s">
        <v>1749</v>
      </c>
      <c r="F87" s="62" t="s">
        <v>1750</v>
      </c>
      <c r="G87" s="61" t="s">
        <v>1751</v>
      </c>
      <c r="H87" s="61" t="s">
        <v>1752</v>
      </c>
      <c r="I87" s="48" t="s">
        <v>250</v>
      </c>
      <c r="J87" s="61" t="s">
        <v>2198</v>
      </c>
      <c r="K87" s="61" t="s">
        <v>2199</v>
      </c>
      <c r="L87" s="61" t="s">
        <v>2200</v>
      </c>
      <c r="M87" s="61" t="s">
        <v>2201</v>
      </c>
      <c r="N87" s="61"/>
      <c r="O87" s="61" t="s">
        <v>2202</v>
      </c>
      <c r="P87" s="61" t="s">
        <v>2203</v>
      </c>
      <c r="Q87" s="61" t="s">
        <v>2204</v>
      </c>
      <c r="R87" s="61" t="s">
        <v>2205</v>
      </c>
      <c r="S87" s="61" t="s">
        <v>2206</v>
      </c>
      <c r="T87" s="61" t="s">
        <v>2207</v>
      </c>
      <c r="U87" s="61" t="s">
        <v>2208</v>
      </c>
      <c r="V87" s="62" t="s">
        <v>2209</v>
      </c>
      <c r="W87" s="61" t="s">
        <v>2210</v>
      </c>
      <c r="X87" s="61" t="s">
        <v>2211</v>
      </c>
      <c r="Y87" s="61" t="s">
        <v>2212</v>
      </c>
      <c r="Z87" s="61" t="s">
        <v>2213</v>
      </c>
      <c r="AA87" s="61" t="s">
        <v>2214</v>
      </c>
      <c r="AB87" s="63" t="s">
        <v>2215</v>
      </c>
      <c r="AC87" s="9" t="s">
        <v>285</v>
      </c>
    </row>
    <row r="88" spans="1:29" x14ac:dyDescent="0.25">
      <c r="A88" s="9" t="s">
        <v>213</v>
      </c>
      <c r="B88" s="41" t="str">
        <f t="shared" si="10"/>
        <v>Grüne Meerkatzen (Chlorocebus spp.)</v>
      </c>
      <c r="C88" s="41" t="str">
        <f t="shared" si="11"/>
        <v>Grüne Meerkatzen (Chlorocebus spp.) (usually either pygerythrus or sabaeus) [A22]</v>
      </c>
      <c r="D88" s="60" t="s">
        <v>1753</v>
      </c>
      <c r="E88" s="61" t="s">
        <v>1754</v>
      </c>
      <c r="F88" s="62" t="s">
        <v>1755</v>
      </c>
      <c r="G88" s="61" t="s">
        <v>1756</v>
      </c>
      <c r="H88" s="61" t="s">
        <v>1757</v>
      </c>
      <c r="I88" s="48" t="s">
        <v>251</v>
      </c>
      <c r="J88" s="61" t="s">
        <v>2216</v>
      </c>
      <c r="K88" s="61" t="s">
        <v>2217</v>
      </c>
      <c r="L88" s="61" t="s">
        <v>2218</v>
      </c>
      <c r="M88" s="61" t="s">
        <v>251</v>
      </c>
      <c r="N88" s="61"/>
      <c r="O88" s="61" t="s">
        <v>2219</v>
      </c>
      <c r="P88" s="61" t="s">
        <v>2220</v>
      </c>
      <c r="Q88" s="61" t="s">
        <v>2221</v>
      </c>
      <c r="R88" s="61" t="s">
        <v>2222</v>
      </c>
      <c r="S88" s="61" t="s">
        <v>2223</v>
      </c>
      <c r="T88" s="61" t="s">
        <v>2224</v>
      </c>
      <c r="U88" s="61" t="s">
        <v>2225</v>
      </c>
      <c r="V88" s="62" t="s">
        <v>2226</v>
      </c>
      <c r="W88" s="61" t="s">
        <v>2227</v>
      </c>
      <c r="X88" s="61" t="s">
        <v>2228</v>
      </c>
      <c r="Y88" s="61" t="s">
        <v>2229</v>
      </c>
      <c r="Z88" s="61" t="s">
        <v>2230</v>
      </c>
      <c r="AA88" s="61" t="s">
        <v>2231</v>
      </c>
      <c r="AB88" s="63" t="s">
        <v>2232</v>
      </c>
      <c r="AC88" s="9" t="s">
        <v>286</v>
      </c>
    </row>
    <row r="89" spans="1:29" x14ac:dyDescent="0.25">
      <c r="A89" s="9" t="s">
        <v>214</v>
      </c>
      <c r="B89" s="41" t="str">
        <f t="shared" si="10"/>
        <v>Paviane (Papio spp.)</v>
      </c>
      <c r="C89" s="41" t="str">
        <f t="shared" si="11"/>
        <v>Paviane (Papio spp.) (Papio spp.) [A23]</v>
      </c>
      <c r="D89" s="60" t="s">
        <v>1758</v>
      </c>
      <c r="E89" s="61" t="s">
        <v>1759</v>
      </c>
      <c r="F89" s="62" t="s">
        <v>1760</v>
      </c>
      <c r="G89" s="61" t="s">
        <v>1761</v>
      </c>
      <c r="H89" s="61" t="s">
        <v>1762</v>
      </c>
      <c r="I89" s="48" t="s">
        <v>252</v>
      </c>
      <c r="J89" s="61" t="s">
        <v>2233</v>
      </c>
      <c r="K89" s="61" t="s">
        <v>2234</v>
      </c>
      <c r="L89" s="61" t="s">
        <v>2235</v>
      </c>
      <c r="M89" s="61" t="s">
        <v>2236</v>
      </c>
      <c r="N89" s="61"/>
      <c r="O89" s="61" t="s">
        <v>2237</v>
      </c>
      <c r="P89" s="61" t="s">
        <v>2238</v>
      </c>
      <c r="Q89" s="61" t="s">
        <v>2239</v>
      </c>
      <c r="R89" s="61" t="s">
        <v>2240</v>
      </c>
      <c r="S89" s="61" t="s">
        <v>2241</v>
      </c>
      <c r="T89" s="61" t="s">
        <v>2242</v>
      </c>
      <c r="U89" s="61" t="s">
        <v>2243</v>
      </c>
      <c r="V89" s="62" t="s">
        <v>2244</v>
      </c>
      <c r="W89" s="61" t="s">
        <v>2245</v>
      </c>
      <c r="X89" s="61" t="s">
        <v>2246</v>
      </c>
      <c r="Y89" s="61" t="s">
        <v>2247</v>
      </c>
      <c r="Z89" s="61" t="s">
        <v>2248</v>
      </c>
      <c r="AA89" s="61" t="s">
        <v>2249</v>
      </c>
      <c r="AB89" s="63" t="s">
        <v>2250</v>
      </c>
      <c r="AC89" s="9" t="s">
        <v>287</v>
      </c>
    </row>
    <row r="90" spans="1:29" x14ac:dyDescent="0.25">
      <c r="A90" s="9" t="s">
        <v>215</v>
      </c>
      <c r="B90" s="41" t="str">
        <f t="shared" si="10"/>
        <v>Totenkopfäffchen</v>
      </c>
      <c r="C90" s="41" t="str">
        <f t="shared" si="11"/>
        <v>Totenkopfäffchen (Saimiri sciureus) [A24]</v>
      </c>
      <c r="D90" s="60" t="s">
        <v>1763</v>
      </c>
      <c r="E90" s="61" t="s">
        <v>1764</v>
      </c>
      <c r="F90" s="62" t="s">
        <v>1765</v>
      </c>
      <c r="G90" s="61" t="s">
        <v>1766</v>
      </c>
      <c r="H90" s="61" t="s">
        <v>1767</v>
      </c>
      <c r="I90" s="48" t="s">
        <v>253</v>
      </c>
      <c r="J90" s="61" t="s">
        <v>2251</v>
      </c>
      <c r="K90" s="61" t="s">
        <v>2252</v>
      </c>
      <c r="L90" s="61" t="s">
        <v>2253</v>
      </c>
      <c r="M90" s="61" t="s">
        <v>2254</v>
      </c>
      <c r="N90" s="61"/>
      <c r="O90" s="61" t="s">
        <v>2255</v>
      </c>
      <c r="P90" s="61" t="s">
        <v>2256</v>
      </c>
      <c r="Q90" s="61" t="s">
        <v>2257</v>
      </c>
      <c r="R90" s="61" t="s">
        <v>2258</v>
      </c>
      <c r="S90" s="61" t="s">
        <v>2259</v>
      </c>
      <c r="T90" s="61" t="s">
        <v>2260</v>
      </c>
      <c r="U90" s="61" t="s">
        <v>2261</v>
      </c>
      <c r="V90" s="62" t="s">
        <v>2262</v>
      </c>
      <c r="W90" s="61" t="s">
        <v>2263</v>
      </c>
      <c r="X90" s="61" t="s">
        <v>2264</v>
      </c>
      <c r="Y90" s="61" t="s">
        <v>2265</v>
      </c>
      <c r="Z90" s="61" t="s">
        <v>2266</v>
      </c>
      <c r="AA90" s="61" t="s">
        <v>2267</v>
      </c>
      <c r="AB90" s="63" t="s">
        <v>2268</v>
      </c>
      <c r="AC90" s="9" t="s">
        <v>288</v>
      </c>
    </row>
    <row r="91" spans="1:29" x14ac:dyDescent="0.25">
      <c r="A91" s="9" t="s">
        <v>216</v>
      </c>
      <c r="B91" s="41" t="str">
        <f t="shared" si="10"/>
        <v>Andere Arten von Altweltaffen</v>
      </c>
      <c r="C91" s="41" t="str">
        <f t="shared" si="11"/>
        <v>Andere Arten von Altweltaffen (other species of Cercopithecoidea) [A25-1]</v>
      </c>
      <c r="D91" s="60" t="s">
        <v>1768</v>
      </c>
      <c r="E91" s="61" t="s">
        <v>1769</v>
      </c>
      <c r="F91" s="62" t="s">
        <v>1770</v>
      </c>
      <c r="G91" s="61" t="s">
        <v>1771</v>
      </c>
      <c r="H91" s="61" t="s">
        <v>1772</v>
      </c>
      <c r="I91" s="48" t="s">
        <v>372</v>
      </c>
      <c r="J91" s="61" t="s">
        <v>2269</v>
      </c>
      <c r="K91" s="61" t="s">
        <v>2270</v>
      </c>
      <c r="L91" s="61" t="s">
        <v>2271</v>
      </c>
      <c r="M91" s="61" t="s">
        <v>2272</v>
      </c>
      <c r="N91" s="61"/>
      <c r="O91" s="61" t="s">
        <v>2273</v>
      </c>
      <c r="P91" s="61" t="s">
        <v>2274</v>
      </c>
      <c r="Q91" s="61" t="s">
        <v>2275</v>
      </c>
      <c r="R91" s="61" t="s">
        <v>2276</v>
      </c>
      <c r="S91" s="61" t="s">
        <v>2277</v>
      </c>
      <c r="T91" s="61" t="s">
        <v>2278</v>
      </c>
      <c r="U91" s="61" t="s">
        <v>2279</v>
      </c>
      <c r="V91" s="62" t="s">
        <v>2280</v>
      </c>
      <c r="W91" s="61" t="s">
        <v>2281</v>
      </c>
      <c r="X91" s="61" t="s">
        <v>2282</v>
      </c>
      <c r="Y91" s="61" t="s">
        <v>2283</v>
      </c>
      <c r="Z91" s="61" t="s">
        <v>2284</v>
      </c>
      <c r="AA91" s="61" t="s">
        <v>2285</v>
      </c>
      <c r="AB91" s="63" t="s">
        <v>2286</v>
      </c>
      <c r="AC91" s="9" t="s">
        <v>289</v>
      </c>
    </row>
    <row r="92" spans="1:29" x14ac:dyDescent="0.25">
      <c r="A92" s="9" t="s">
        <v>217</v>
      </c>
      <c r="B92" s="41" t="str">
        <f t="shared" si="10"/>
        <v>Andere Arten von Neuweltaffen</v>
      </c>
      <c r="C92" s="41" t="str">
        <f t="shared" si="11"/>
        <v>Andere Arten von Neuweltaffen (other species of Ceboidea) [A25-2]</v>
      </c>
      <c r="D92" s="60" t="s">
        <v>1773</v>
      </c>
      <c r="E92" s="61" t="s">
        <v>1774</v>
      </c>
      <c r="F92" s="62" t="s">
        <v>1775</v>
      </c>
      <c r="G92" s="61" t="s">
        <v>1776</v>
      </c>
      <c r="H92" s="61" t="s">
        <v>1777</v>
      </c>
      <c r="I92" s="48" t="s">
        <v>373</v>
      </c>
      <c r="J92" s="61" t="s">
        <v>2287</v>
      </c>
      <c r="K92" s="61" t="s">
        <v>2288</v>
      </c>
      <c r="L92" s="61" t="s">
        <v>2289</v>
      </c>
      <c r="M92" s="61" t="s">
        <v>2290</v>
      </c>
      <c r="N92" s="61"/>
      <c r="O92" s="61" t="s">
        <v>2291</v>
      </c>
      <c r="P92" s="61" t="s">
        <v>2292</v>
      </c>
      <c r="Q92" s="61" t="s">
        <v>2293</v>
      </c>
      <c r="R92" s="61" t="s">
        <v>2294</v>
      </c>
      <c r="S92" s="61" t="s">
        <v>2295</v>
      </c>
      <c r="T92" s="61" t="s">
        <v>2296</v>
      </c>
      <c r="U92" s="61" t="s">
        <v>2297</v>
      </c>
      <c r="V92" s="62" t="s">
        <v>2298</v>
      </c>
      <c r="W92" s="61" t="s">
        <v>2299</v>
      </c>
      <c r="X92" s="61" t="s">
        <v>2300</v>
      </c>
      <c r="Y92" s="61" t="s">
        <v>2301</v>
      </c>
      <c r="Z92" s="61" t="s">
        <v>2302</v>
      </c>
      <c r="AA92" s="61" t="s">
        <v>2303</v>
      </c>
      <c r="AB92" s="63" t="s">
        <v>2304</v>
      </c>
      <c r="AC92" s="9" t="s">
        <v>290</v>
      </c>
    </row>
    <row r="93" spans="1:29" x14ac:dyDescent="0.25">
      <c r="A93" s="9" t="s">
        <v>218</v>
      </c>
      <c r="B93" s="41" t="str">
        <f t="shared" si="10"/>
        <v>Menschenaffen</v>
      </c>
      <c r="C93" s="41" t="str">
        <f t="shared" si="11"/>
        <v>Menschenaffen (Hominoidea) [A26]</v>
      </c>
      <c r="D93" s="60" t="s">
        <v>1778</v>
      </c>
      <c r="E93" s="61" t="s">
        <v>1779</v>
      </c>
      <c r="F93" s="62" t="s">
        <v>1780</v>
      </c>
      <c r="G93" s="61" t="s">
        <v>1781</v>
      </c>
      <c r="H93" s="61" t="s">
        <v>1782</v>
      </c>
      <c r="I93" s="48" t="s">
        <v>254</v>
      </c>
      <c r="J93" s="61" t="s">
        <v>2305</v>
      </c>
      <c r="K93" s="61" t="s">
        <v>2306</v>
      </c>
      <c r="L93" s="61" t="s">
        <v>2307</v>
      </c>
      <c r="M93" s="61" t="s">
        <v>2308</v>
      </c>
      <c r="N93" s="61"/>
      <c r="O93" s="61" t="s">
        <v>2309</v>
      </c>
      <c r="P93" s="61" t="s">
        <v>2310</v>
      </c>
      <c r="Q93" s="61" t="s">
        <v>2311</v>
      </c>
      <c r="R93" s="61" t="s">
        <v>2312</v>
      </c>
      <c r="S93" s="61" t="s">
        <v>2313</v>
      </c>
      <c r="T93" s="61" t="s">
        <v>2314</v>
      </c>
      <c r="U93" s="61" t="s">
        <v>2315</v>
      </c>
      <c r="V93" s="62" t="s">
        <v>2316</v>
      </c>
      <c r="W93" s="61" t="s">
        <v>2317</v>
      </c>
      <c r="X93" s="61" t="s">
        <v>2318</v>
      </c>
      <c r="Y93" s="61" t="s">
        <v>2319</v>
      </c>
      <c r="Z93" s="61" t="s">
        <v>2320</v>
      </c>
      <c r="AA93" s="61" t="s">
        <v>2321</v>
      </c>
      <c r="AB93" s="63" t="s">
        <v>2322</v>
      </c>
      <c r="AC93" s="9" t="s">
        <v>291</v>
      </c>
    </row>
    <row r="94" spans="1:29" x14ac:dyDescent="0.25">
      <c r="A94" s="9" t="s">
        <v>219</v>
      </c>
      <c r="B94" s="41" t="str">
        <f t="shared" si="10"/>
        <v>Andere Säugetiere</v>
      </c>
      <c r="C94" s="41" t="str">
        <f t="shared" si="11"/>
        <v>Andere Säugetiere (other Mammalia) [A27]</v>
      </c>
      <c r="D94" s="60" t="s">
        <v>1783</v>
      </c>
      <c r="E94" s="61" t="s">
        <v>1784</v>
      </c>
      <c r="F94" s="62" t="s">
        <v>1785</v>
      </c>
      <c r="G94" s="61" t="s">
        <v>1786</v>
      </c>
      <c r="H94" s="61" t="s">
        <v>1787</v>
      </c>
      <c r="I94" s="48" t="s">
        <v>255</v>
      </c>
      <c r="J94" s="61" t="s">
        <v>2323</v>
      </c>
      <c r="K94" s="61" t="s">
        <v>2324</v>
      </c>
      <c r="L94" s="61" t="s">
        <v>2325</v>
      </c>
      <c r="M94" s="61" t="s">
        <v>2326</v>
      </c>
      <c r="N94" s="61"/>
      <c r="O94" s="61" t="s">
        <v>2327</v>
      </c>
      <c r="P94" s="61" t="s">
        <v>2328</v>
      </c>
      <c r="Q94" s="61" t="s">
        <v>2329</v>
      </c>
      <c r="R94" s="61" t="s">
        <v>2330</v>
      </c>
      <c r="S94" s="61" t="s">
        <v>2331</v>
      </c>
      <c r="T94" s="61" t="s">
        <v>2332</v>
      </c>
      <c r="U94" s="61" t="s">
        <v>2333</v>
      </c>
      <c r="V94" s="62" t="s">
        <v>2334</v>
      </c>
      <c r="W94" s="61" t="s">
        <v>2335</v>
      </c>
      <c r="X94" s="61" t="s">
        <v>2336</v>
      </c>
      <c r="Y94" s="61" t="s">
        <v>2337</v>
      </c>
      <c r="Z94" s="61" t="s">
        <v>2338</v>
      </c>
      <c r="AA94" s="61" t="s">
        <v>2339</v>
      </c>
      <c r="AB94" s="63" t="s">
        <v>1785</v>
      </c>
      <c r="AC94" s="9" t="s">
        <v>292</v>
      </c>
    </row>
    <row r="95" spans="1:29" x14ac:dyDescent="0.25">
      <c r="A95" s="9" t="s">
        <v>220</v>
      </c>
      <c r="B95" s="41" t="str">
        <f t="shared" si="10"/>
        <v>Haushühner</v>
      </c>
      <c r="C95" s="41" t="str">
        <f t="shared" si="11"/>
        <v>Haushühner (Gallus gallus domesticus) [A28]</v>
      </c>
      <c r="D95" s="60" t="s">
        <v>1788</v>
      </c>
      <c r="E95" s="61" t="s">
        <v>1789</v>
      </c>
      <c r="F95" s="62" t="s">
        <v>1790</v>
      </c>
      <c r="G95" s="61" t="s">
        <v>1791</v>
      </c>
      <c r="H95" s="61" t="s">
        <v>1792</v>
      </c>
      <c r="I95" s="48" t="s">
        <v>256</v>
      </c>
      <c r="J95" s="61" t="s">
        <v>2340</v>
      </c>
      <c r="K95" s="61" t="s">
        <v>2341</v>
      </c>
      <c r="L95" s="61" t="s">
        <v>2342</v>
      </c>
      <c r="M95" s="61" t="s">
        <v>2343</v>
      </c>
      <c r="N95" s="61"/>
      <c r="O95" s="61" t="s">
        <v>2344</v>
      </c>
      <c r="P95" s="61" t="s">
        <v>2345</v>
      </c>
      <c r="Q95" s="61" t="s">
        <v>2346</v>
      </c>
      <c r="R95" s="61" t="s">
        <v>2347</v>
      </c>
      <c r="S95" s="61" t="s">
        <v>2348</v>
      </c>
      <c r="T95" s="61" t="s">
        <v>2349</v>
      </c>
      <c r="U95" s="61" t="s">
        <v>2350</v>
      </c>
      <c r="V95" s="62" t="s">
        <v>2351</v>
      </c>
      <c r="W95" s="61" t="s">
        <v>2352</v>
      </c>
      <c r="X95" s="61" t="s">
        <v>2353</v>
      </c>
      <c r="Y95" s="61" t="s">
        <v>2354</v>
      </c>
      <c r="Z95" s="61" t="s">
        <v>2355</v>
      </c>
      <c r="AA95" s="61" t="s">
        <v>2356</v>
      </c>
      <c r="AB95" s="63" t="s">
        <v>2357</v>
      </c>
      <c r="AC95" s="9" t="s">
        <v>293</v>
      </c>
    </row>
    <row r="96" spans="1:29" x14ac:dyDescent="0.25">
      <c r="A96" s="44" t="s">
        <v>374</v>
      </c>
      <c r="B96" s="41" t="str">
        <f t="shared" si="10"/>
        <v>Truthühner</v>
      </c>
      <c r="C96" s="41" t="str">
        <f t="shared" si="11"/>
        <v>Truthühner (Meleagris gallopavo) [A37]</v>
      </c>
      <c r="D96" s="60" t="s">
        <v>1793</v>
      </c>
      <c r="E96" s="61" t="s">
        <v>1794</v>
      </c>
      <c r="F96" s="62" t="s">
        <v>1795</v>
      </c>
      <c r="G96" s="61" t="s">
        <v>1796</v>
      </c>
      <c r="H96" s="61" t="s">
        <v>1797</v>
      </c>
      <c r="I96" s="48" t="s">
        <v>375</v>
      </c>
      <c r="J96" s="61" t="s">
        <v>2358</v>
      </c>
      <c r="K96" s="61" t="s">
        <v>2359</v>
      </c>
      <c r="L96" s="61" t="s">
        <v>2360</v>
      </c>
      <c r="M96" s="61" t="s">
        <v>2361</v>
      </c>
      <c r="N96" s="61"/>
      <c r="O96" s="61" t="s">
        <v>2362</v>
      </c>
      <c r="P96" s="61" t="s">
        <v>2363</v>
      </c>
      <c r="Q96" s="61" t="s">
        <v>2364</v>
      </c>
      <c r="R96" s="61" t="s">
        <v>2365</v>
      </c>
      <c r="S96" s="61" t="s">
        <v>2366</v>
      </c>
      <c r="T96" s="61" t="s">
        <v>2367</v>
      </c>
      <c r="U96" s="61" t="s">
        <v>2368</v>
      </c>
      <c r="V96" s="62" t="s">
        <v>2369</v>
      </c>
      <c r="W96" s="61" t="s">
        <v>2370</v>
      </c>
      <c r="X96" s="61" t="s">
        <v>2371</v>
      </c>
      <c r="Y96" s="61" t="s">
        <v>2372</v>
      </c>
      <c r="Z96" s="61" t="s">
        <v>2362</v>
      </c>
      <c r="AA96" s="61" t="s">
        <v>2373</v>
      </c>
      <c r="AB96" s="63" t="s">
        <v>1795</v>
      </c>
      <c r="AC96" s="9" t="s">
        <v>376</v>
      </c>
    </row>
    <row r="97" spans="1:29" x14ac:dyDescent="0.25">
      <c r="A97" s="9" t="s">
        <v>221</v>
      </c>
      <c r="B97" s="41" t="str">
        <f t="shared" si="10"/>
        <v>Andere Vögel</v>
      </c>
      <c r="C97" s="41" t="str">
        <f t="shared" si="11"/>
        <v>Andere Vögel (other Aves) [A29]</v>
      </c>
      <c r="D97" s="60" t="s">
        <v>1798</v>
      </c>
      <c r="E97" s="61" t="s">
        <v>1799</v>
      </c>
      <c r="F97" s="62" t="s">
        <v>1800</v>
      </c>
      <c r="G97" s="61" t="s">
        <v>1801</v>
      </c>
      <c r="H97" s="61" t="s">
        <v>1802</v>
      </c>
      <c r="I97" s="48" t="s">
        <v>257</v>
      </c>
      <c r="J97" s="61" t="s">
        <v>2374</v>
      </c>
      <c r="K97" s="61" t="s">
        <v>2375</v>
      </c>
      <c r="L97" s="61" t="s">
        <v>2376</v>
      </c>
      <c r="M97" s="61" t="s">
        <v>2377</v>
      </c>
      <c r="N97" s="61"/>
      <c r="O97" s="61" t="s">
        <v>2378</v>
      </c>
      <c r="P97" s="61" t="s">
        <v>2379</v>
      </c>
      <c r="Q97" s="61" t="s">
        <v>2380</v>
      </c>
      <c r="R97" s="61" t="s">
        <v>2381</v>
      </c>
      <c r="S97" s="61" t="s">
        <v>2382</v>
      </c>
      <c r="T97" s="61" t="s">
        <v>2383</v>
      </c>
      <c r="U97" s="61" t="s">
        <v>2384</v>
      </c>
      <c r="V97" s="62" t="s">
        <v>2385</v>
      </c>
      <c r="W97" s="61" t="s">
        <v>2386</v>
      </c>
      <c r="X97" s="61" t="s">
        <v>2387</v>
      </c>
      <c r="Y97" s="61" t="s">
        <v>2388</v>
      </c>
      <c r="Z97" s="61" t="s">
        <v>2389</v>
      </c>
      <c r="AA97" s="61" t="s">
        <v>2390</v>
      </c>
      <c r="AB97" s="63" t="s">
        <v>2391</v>
      </c>
      <c r="AC97" s="9" t="s">
        <v>294</v>
      </c>
    </row>
    <row r="98" spans="1:29" x14ac:dyDescent="0.25">
      <c r="A98" s="9" t="s">
        <v>222</v>
      </c>
      <c r="B98" s="41" t="str">
        <f t="shared" si="10"/>
        <v>Reptilien</v>
      </c>
      <c r="C98" s="41" t="str">
        <f t="shared" si="11"/>
        <v>Reptilien (Reptilia) [A30]</v>
      </c>
      <c r="D98" s="60" t="s">
        <v>1803</v>
      </c>
      <c r="E98" s="61" t="s">
        <v>1804</v>
      </c>
      <c r="F98" s="62" t="s">
        <v>1805</v>
      </c>
      <c r="G98" s="61" t="s">
        <v>1806</v>
      </c>
      <c r="H98" s="61" t="s">
        <v>1807</v>
      </c>
      <c r="I98" s="48" t="s">
        <v>258</v>
      </c>
      <c r="J98" s="61" t="s">
        <v>258</v>
      </c>
      <c r="K98" s="61" t="s">
        <v>2392</v>
      </c>
      <c r="L98" s="61" t="s">
        <v>2393</v>
      </c>
      <c r="M98" s="61" t="s">
        <v>258</v>
      </c>
      <c r="N98" s="61"/>
      <c r="O98" s="61" t="s">
        <v>2394</v>
      </c>
      <c r="P98" s="61" t="s">
        <v>2395</v>
      </c>
      <c r="Q98" s="61" t="s">
        <v>2396</v>
      </c>
      <c r="R98" s="61" t="s">
        <v>2397</v>
      </c>
      <c r="S98" s="61" t="s">
        <v>2398</v>
      </c>
      <c r="T98" s="61" t="s">
        <v>2399</v>
      </c>
      <c r="U98" s="61" t="s">
        <v>2400</v>
      </c>
      <c r="V98" s="62" t="s">
        <v>2401</v>
      </c>
      <c r="W98" s="61" t="s">
        <v>2402</v>
      </c>
      <c r="X98" s="61" t="s">
        <v>2403</v>
      </c>
      <c r="Y98" s="61" t="s">
        <v>2404</v>
      </c>
      <c r="Z98" s="61" t="s">
        <v>2405</v>
      </c>
      <c r="AA98" s="61" t="s">
        <v>2406</v>
      </c>
      <c r="AB98" s="63" t="s">
        <v>2407</v>
      </c>
      <c r="AC98" s="9" t="s">
        <v>295</v>
      </c>
    </row>
    <row r="99" spans="1:29" x14ac:dyDescent="0.25">
      <c r="A99" s="9" t="s">
        <v>223</v>
      </c>
      <c r="B99" s="41" t="str">
        <f t="shared" si="10"/>
        <v>Frösche</v>
      </c>
      <c r="C99" s="41" t="str">
        <f t="shared" si="11"/>
        <v>Frösche (Rana temporaria and Rana pipiens) [A31]</v>
      </c>
      <c r="D99" s="60" t="s">
        <v>1808</v>
      </c>
      <c r="E99" s="61" t="s">
        <v>1809</v>
      </c>
      <c r="F99" s="62" t="s">
        <v>259</v>
      </c>
      <c r="G99" s="61" t="s">
        <v>1810</v>
      </c>
      <c r="H99" s="61" t="s">
        <v>1811</v>
      </c>
      <c r="I99" s="48" t="s">
        <v>259</v>
      </c>
      <c r="J99" s="61" t="s">
        <v>2408</v>
      </c>
      <c r="K99" s="61" t="s">
        <v>2409</v>
      </c>
      <c r="L99" s="61" t="s">
        <v>2410</v>
      </c>
      <c r="M99" s="61" t="s">
        <v>2411</v>
      </c>
      <c r="N99" s="61"/>
      <c r="O99" s="61" t="s">
        <v>2412</v>
      </c>
      <c r="P99" s="61" t="s">
        <v>2413</v>
      </c>
      <c r="Q99" s="61" t="s">
        <v>2414</v>
      </c>
      <c r="R99" s="61" t="s">
        <v>2415</v>
      </c>
      <c r="S99" s="61" t="s">
        <v>2416</v>
      </c>
      <c r="T99" s="61" t="s">
        <v>2417</v>
      </c>
      <c r="U99" s="61" t="s">
        <v>2418</v>
      </c>
      <c r="V99" s="62" t="s">
        <v>2419</v>
      </c>
      <c r="W99" s="61" t="s">
        <v>2420</v>
      </c>
      <c r="X99" s="61" t="s">
        <v>259</v>
      </c>
      <c r="Y99" s="61" t="s">
        <v>2421</v>
      </c>
      <c r="Z99" s="61" t="s">
        <v>2422</v>
      </c>
      <c r="AA99" s="61" t="s">
        <v>2423</v>
      </c>
      <c r="AB99" s="63" t="s">
        <v>2424</v>
      </c>
      <c r="AC99" s="9" t="s">
        <v>296</v>
      </c>
    </row>
    <row r="100" spans="1:29" x14ac:dyDescent="0.25">
      <c r="A100" s="9" t="s">
        <v>224</v>
      </c>
      <c r="B100" s="41" t="str">
        <f t="shared" si="10"/>
        <v>Krallenfrösche</v>
      </c>
      <c r="C100" s="41" t="str">
        <f t="shared" si="11"/>
        <v>Krallenfrösche (Xenopus laevis and Xenopus tropicalis) [A32]</v>
      </c>
      <c r="D100" s="60" t="s">
        <v>1812</v>
      </c>
      <c r="E100" s="61" t="s">
        <v>1813</v>
      </c>
      <c r="F100" s="62" t="s">
        <v>260</v>
      </c>
      <c r="G100" s="61" t="s">
        <v>1814</v>
      </c>
      <c r="H100" s="61" t="s">
        <v>1815</v>
      </c>
      <c r="I100" s="48" t="s">
        <v>260</v>
      </c>
      <c r="J100" s="61" t="s">
        <v>2425</v>
      </c>
      <c r="K100" s="61" t="s">
        <v>2426</v>
      </c>
      <c r="L100" s="61" t="s">
        <v>2427</v>
      </c>
      <c r="M100" s="61" t="s">
        <v>2428</v>
      </c>
      <c r="N100" s="61"/>
      <c r="O100" s="61" t="s">
        <v>2429</v>
      </c>
      <c r="P100" s="61" t="s">
        <v>2430</v>
      </c>
      <c r="Q100" s="61" t="s">
        <v>2431</v>
      </c>
      <c r="R100" s="61" t="s">
        <v>2432</v>
      </c>
      <c r="S100" s="61" t="s">
        <v>2433</v>
      </c>
      <c r="T100" s="61" t="s">
        <v>2434</v>
      </c>
      <c r="U100" s="61" t="s">
        <v>2435</v>
      </c>
      <c r="V100" s="62" t="s">
        <v>2436</v>
      </c>
      <c r="W100" s="61" t="s">
        <v>2437</v>
      </c>
      <c r="X100" s="61" t="s">
        <v>260</v>
      </c>
      <c r="Y100" s="61" t="s">
        <v>2438</v>
      </c>
      <c r="Z100" s="61" t="s">
        <v>2439</v>
      </c>
      <c r="AA100" s="61" t="s">
        <v>2440</v>
      </c>
      <c r="AB100" s="63" t="s">
        <v>2441</v>
      </c>
      <c r="AC100" s="9" t="s">
        <v>297</v>
      </c>
    </row>
    <row r="101" spans="1:29" x14ac:dyDescent="0.25">
      <c r="A101" s="9" t="s">
        <v>225</v>
      </c>
      <c r="B101" s="41" t="str">
        <f t="shared" si="10"/>
        <v>Andere Amphibien</v>
      </c>
      <c r="C101" s="41" t="str">
        <f t="shared" si="11"/>
        <v>Andere Amphibien (other Amphibia) [A33]</v>
      </c>
      <c r="D101" s="60" t="s">
        <v>1816</v>
      </c>
      <c r="E101" s="61" t="s">
        <v>1817</v>
      </c>
      <c r="F101" s="62" t="s">
        <v>1818</v>
      </c>
      <c r="G101" s="61" t="s">
        <v>1819</v>
      </c>
      <c r="H101" s="61" t="s">
        <v>1820</v>
      </c>
      <c r="I101" s="48" t="s">
        <v>261</v>
      </c>
      <c r="J101" s="61" t="s">
        <v>2442</v>
      </c>
      <c r="K101" s="61" t="s">
        <v>2443</v>
      </c>
      <c r="L101" s="61" t="s">
        <v>2444</v>
      </c>
      <c r="M101" s="61" t="s">
        <v>2445</v>
      </c>
      <c r="N101" s="61"/>
      <c r="O101" s="61" t="s">
        <v>2446</v>
      </c>
      <c r="P101" s="61" t="s">
        <v>2447</v>
      </c>
      <c r="Q101" s="61" t="s">
        <v>2448</v>
      </c>
      <c r="R101" s="61" t="s">
        <v>2449</v>
      </c>
      <c r="S101" s="61" t="s">
        <v>2450</v>
      </c>
      <c r="T101" s="61" t="s">
        <v>2451</v>
      </c>
      <c r="U101" s="61" t="s">
        <v>2452</v>
      </c>
      <c r="V101" s="62" t="s">
        <v>2453</v>
      </c>
      <c r="W101" s="61" t="s">
        <v>2454</v>
      </c>
      <c r="X101" s="61" t="s">
        <v>2455</v>
      </c>
      <c r="Y101" s="61" t="s">
        <v>2456</v>
      </c>
      <c r="Z101" s="61" t="s">
        <v>2457</v>
      </c>
      <c r="AA101" s="61" t="s">
        <v>2458</v>
      </c>
      <c r="AB101" s="63" t="s">
        <v>2459</v>
      </c>
      <c r="AC101" s="9" t="s">
        <v>298</v>
      </c>
    </row>
    <row r="102" spans="1:29" x14ac:dyDescent="0.25">
      <c r="A102" s="9" t="s">
        <v>226</v>
      </c>
      <c r="B102" s="41" t="str">
        <f t="shared" si="10"/>
        <v>Zebrafische</v>
      </c>
      <c r="C102" s="41" t="str">
        <f t="shared" si="11"/>
        <v>Zebrafische (Danio rerio) [A34]</v>
      </c>
      <c r="D102" s="60" t="s">
        <v>1821</v>
      </c>
      <c r="E102" s="61" t="s">
        <v>1822</v>
      </c>
      <c r="F102" s="62" t="s">
        <v>1823</v>
      </c>
      <c r="G102" s="61" t="s">
        <v>1824</v>
      </c>
      <c r="H102" s="61" t="s">
        <v>1825</v>
      </c>
      <c r="I102" s="48" t="s">
        <v>262</v>
      </c>
      <c r="J102" s="61" t="s">
        <v>2460</v>
      </c>
      <c r="K102" s="61" t="s">
        <v>2461</v>
      </c>
      <c r="L102" s="61" t="s">
        <v>2462</v>
      </c>
      <c r="M102" s="61" t="s">
        <v>2463</v>
      </c>
      <c r="N102" s="61"/>
      <c r="O102" s="61" t="s">
        <v>2464</v>
      </c>
      <c r="P102" s="61" t="s">
        <v>2465</v>
      </c>
      <c r="Q102" s="61" t="s">
        <v>2466</v>
      </c>
      <c r="R102" s="61" t="s">
        <v>2467</v>
      </c>
      <c r="S102" s="61" t="s">
        <v>2468</v>
      </c>
      <c r="T102" s="61" t="s">
        <v>2469</v>
      </c>
      <c r="U102" s="61" t="s">
        <v>2470</v>
      </c>
      <c r="V102" s="62" t="s">
        <v>2471</v>
      </c>
      <c r="W102" s="61" t="s">
        <v>2472</v>
      </c>
      <c r="X102" s="61" t="s">
        <v>2473</v>
      </c>
      <c r="Y102" s="61" t="s">
        <v>2474</v>
      </c>
      <c r="Z102" s="61" t="s">
        <v>2475</v>
      </c>
      <c r="AA102" s="61" t="s">
        <v>2476</v>
      </c>
      <c r="AB102" s="63" t="s">
        <v>1823</v>
      </c>
      <c r="AC102" s="9" t="s">
        <v>299</v>
      </c>
    </row>
    <row r="103" spans="1:29" x14ac:dyDescent="0.25">
      <c r="A103" s="44" t="s">
        <v>377</v>
      </c>
      <c r="B103" s="41" t="str">
        <f t="shared" si="10"/>
        <v>Wolfsbarsch</v>
      </c>
      <c r="C103" s="41" t="str">
        <f t="shared" si="11"/>
        <v>Wolfsbarsch (spp. from families e.g. Serranidae, Moronidae) [A38]</v>
      </c>
      <c r="D103" s="60" t="s">
        <v>1826</v>
      </c>
      <c r="E103" s="61" t="s">
        <v>1827</v>
      </c>
      <c r="F103" s="62" t="s">
        <v>1828</v>
      </c>
      <c r="G103" s="61" t="s">
        <v>1829</v>
      </c>
      <c r="H103" s="61" t="s">
        <v>1830</v>
      </c>
      <c r="I103" s="48" t="s">
        <v>380</v>
      </c>
      <c r="J103" s="61" t="s">
        <v>2477</v>
      </c>
      <c r="K103" s="61" t="s">
        <v>2478</v>
      </c>
      <c r="L103" s="61" t="s">
        <v>2479</v>
      </c>
      <c r="M103" s="61" t="s">
        <v>2480</v>
      </c>
      <c r="N103" s="61"/>
      <c r="O103" s="61" t="s">
        <v>2481</v>
      </c>
      <c r="P103" s="61" t="s">
        <v>2482</v>
      </c>
      <c r="Q103" s="61" t="s">
        <v>2483</v>
      </c>
      <c r="R103" s="61" t="s">
        <v>2484</v>
      </c>
      <c r="S103" s="61" t="s">
        <v>2485</v>
      </c>
      <c r="T103" s="61" t="s">
        <v>2486</v>
      </c>
      <c r="U103" s="61" t="s">
        <v>2487</v>
      </c>
      <c r="V103" s="62" t="s">
        <v>2488</v>
      </c>
      <c r="W103" s="61" t="s">
        <v>2489</v>
      </c>
      <c r="X103" s="61" t="s">
        <v>2490</v>
      </c>
      <c r="Y103" s="61" t="s">
        <v>2491</v>
      </c>
      <c r="Z103" s="61" t="s">
        <v>2492</v>
      </c>
      <c r="AA103" s="61" t="s">
        <v>2493</v>
      </c>
      <c r="AB103" s="63" t="s">
        <v>2494</v>
      </c>
      <c r="AC103" s="9" t="s">
        <v>381</v>
      </c>
    </row>
    <row r="104" spans="1:29" x14ac:dyDescent="0.25">
      <c r="A104" s="44" t="s">
        <v>378</v>
      </c>
      <c r="B104" s="41" t="str">
        <f t="shared" si="10"/>
        <v>Lachse, Forellen, Saiblinge und Äschen</v>
      </c>
      <c r="C104" s="41" t="str">
        <f t="shared" si="11"/>
        <v>Lachse, Forellen, Saiblinge und Äschen (Salmonidae) [A39]</v>
      </c>
      <c r="D104" s="60" t="s">
        <v>1831</v>
      </c>
      <c r="E104" s="61" t="s">
        <v>1832</v>
      </c>
      <c r="F104" s="62" t="s">
        <v>1833</v>
      </c>
      <c r="G104" s="61" t="s">
        <v>1834</v>
      </c>
      <c r="H104" s="61" t="s">
        <v>1835</v>
      </c>
      <c r="I104" s="48" t="s">
        <v>382</v>
      </c>
      <c r="J104" s="61" t="s">
        <v>2495</v>
      </c>
      <c r="K104" s="61" t="s">
        <v>2496</v>
      </c>
      <c r="L104" s="61" t="s">
        <v>2497</v>
      </c>
      <c r="M104" s="61" t="s">
        <v>2498</v>
      </c>
      <c r="N104" s="61"/>
      <c r="O104" s="61" t="s">
        <v>2499</v>
      </c>
      <c r="P104" s="61" t="s">
        <v>2500</v>
      </c>
      <c r="Q104" s="61" t="s">
        <v>2501</v>
      </c>
      <c r="R104" s="61" t="s">
        <v>2502</v>
      </c>
      <c r="S104" s="61" t="s">
        <v>2503</v>
      </c>
      <c r="T104" s="61" t="s">
        <v>2504</v>
      </c>
      <c r="U104" s="61" t="s">
        <v>2505</v>
      </c>
      <c r="V104" s="62" t="s">
        <v>2506</v>
      </c>
      <c r="W104" s="61" t="s">
        <v>2507</v>
      </c>
      <c r="X104" s="61" t="s">
        <v>2508</v>
      </c>
      <c r="Y104" s="61" t="s">
        <v>2509</v>
      </c>
      <c r="Z104" s="61" t="s">
        <v>2510</v>
      </c>
      <c r="AA104" s="61" t="s">
        <v>2511</v>
      </c>
      <c r="AB104" s="63" t="s">
        <v>2512</v>
      </c>
      <c r="AC104" s="9" t="s">
        <v>383</v>
      </c>
    </row>
    <row r="105" spans="1:29" x14ac:dyDescent="0.25">
      <c r="A105" s="44" t="s">
        <v>379</v>
      </c>
      <c r="B105" s="41" t="str">
        <f t="shared" si="10"/>
        <v>Guppys, Schwertträger, Spitzmaulkärpflinge, Spiegelkärpflinge</v>
      </c>
      <c r="C105" s="41" t="str">
        <f t="shared" si="11"/>
        <v>Guppys, Schwertträger, Spitzmaulkärpflinge, Spiegelkärpflinge (Poeciliidae) [A40]</v>
      </c>
      <c r="D105" s="60" t="s">
        <v>1836</v>
      </c>
      <c r="E105" s="61" t="s">
        <v>1837</v>
      </c>
      <c r="F105" s="62" t="s">
        <v>1838</v>
      </c>
      <c r="G105" s="61" t="s">
        <v>1839</v>
      </c>
      <c r="H105" s="61" t="s">
        <v>1840</v>
      </c>
      <c r="I105" s="48" t="s">
        <v>384</v>
      </c>
      <c r="J105" s="61" t="s">
        <v>2513</v>
      </c>
      <c r="K105" s="61" t="s">
        <v>2514</v>
      </c>
      <c r="L105" s="61" t="s">
        <v>2515</v>
      </c>
      <c r="M105" s="61" t="s">
        <v>2516</v>
      </c>
      <c r="N105" s="61"/>
      <c r="O105" s="61" t="s">
        <v>2517</v>
      </c>
      <c r="P105" s="61" t="s">
        <v>2518</v>
      </c>
      <c r="Q105" s="61" t="s">
        <v>2519</v>
      </c>
      <c r="R105" s="61" t="s">
        <v>2520</v>
      </c>
      <c r="S105" s="61" t="s">
        <v>2521</v>
      </c>
      <c r="T105" s="61" t="s">
        <v>2522</v>
      </c>
      <c r="U105" s="61" t="s">
        <v>2523</v>
      </c>
      <c r="V105" s="62" t="s">
        <v>2524</v>
      </c>
      <c r="W105" s="61" t="s">
        <v>2525</v>
      </c>
      <c r="X105" s="61" t="s">
        <v>2526</v>
      </c>
      <c r="Y105" s="61" t="s">
        <v>2527</v>
      </c>
      <c r="Z105" s="61" t="s">
        <v>2528</v>
      </c>
      <c r="AA105" s="61" t="s">
        <v>2529</v>
      </c>
      <c r="AB105" s="63" t="s">
        <v>2530</v>
      </c>
      <c r="AC105" s="9" t="s">
        <v>385</v>
      </c>
    </row>
    <row r="106" spans="1:29" x14ac:dyDescent="0.25">
      <c r="A106" s="9" t="s">
        <v>227</v>
      </c>
      <c r="B106" s="41" t="str">
        <f t="shared" si="10"/>
        <v>Andere Fische</v>
      </c>
      <c r="C106" s="41" t="str">
        <f t="shared" si="11"/>
        <v>Andere Fische (other Pisces) [A35]</v>
      </c>
      <c r="D106" s="60" t="s">
        <v>1841</v>
      </c>
      <c r="E106" s="61" t="s">
        <v>1842</v>
      </c>
      <c r="F106" s="62" t="s">
        <v>1843</v>
      </c>
      <c r="G106" s="61" t="s">
        <v>1844</v>
      </c>
      <c r="H106" s="61" t="s">
        <v>1845</v>
      </c>
      <c r="I106" s="48" t="s">
        <v>263</v>
      </c>
      <c r="J106" s="61" t="s">
        <v>2531</v>
      </c>
      <c r="K106" s="61" t="s">
        <v>2532</v>
      </c>
      <c r="L106" s="61" t="s">
        <v>2533</v>
      </c>
      <c r="M106" s="61" t="s">
        <v>2534</v>
      </c>
      <c r="N106" s="61"/>
      <c r="O106" s="61" t="s">
        <v>2535</v>
      </c>
      <c r="P106" s="61" t="s">
        <v>2536</v>
      </c>
      <c r="Q106" s="61" t="s">
        <v>2537</v>
      </c>
      <c r="R106" s="61" t="s">
        <v>2538</v>
      </c>
      <c r="S106" s="61" t="s">
        <v>2539</v>
      </c>
      <c r="T106" s="61" t="s">
        <v>2540</v>
      </c>
      <c r="U106" s="61" t="s">
        <v>2541</v>
      </c>
      <c r="V106" s="62" t="s">
        <v>2542</v>
      </c>
      <c r="W106" s="61" t="s">
        <v>2543</v>
      </c>
      <c r="X106" s="61" t="s">
        <v>2544</v>
      </c>
      <c r="Y106" s="61" t="s">
        <v>2545</v>
      </c>
      <c r="Z106" s="61" t="s">
        <v>2535</v>
      </c>
      <c r="AA106" s="61" t="s">
        <v>2546</v>
      </c>
      <c r="AB106" s="63" t="s">
        <v>2547</v>
      </c>
      <c r="AC106" s="9" t="s">
        <v>300</v>
      </c>
    </row>
    <row r="107" spans="1:29" x14ac:dyDescent="0.25">
      <c r="A107" s="9" t="s">
        <v>228</v>
      </c>
      <c r="B107" s="41" t="str">
        <f t="shared" si="10"/>
        <v>Kopffüßer</v>
      </c>
      <c r="C107" s="41" t="str">
        <f t="shared" si="11"/>
        <v>Kopffüßer (Cephalopoda) [A36]</v>
      </c>
      <c r="D107" s="60" t="s">
        <v>1846</v>
      </c>
      <c r="E107" s="61" t="s">
        <v>1847</v>
      </c>
      <c r="F107" s="62" t="s">
        <v>1848</v>
      </c>
      <c r="G107" s="61" t="s">
        <v>1849</v>
      </c>
      <c r="H107" s="61" t="s">
        <v>1850</v>
      </c>
      <c r="I107" s="48" t="s">
        <v>264</v>
      </c>
      <c r="J107" s="61" t="s">
        <v>2548</v>
      </c>
      <c r="K107" s="61" t="s">
        <v>2549</v>
      </c>
      <c r="L107" s="61" t="s">
        <v>2550</v>
      </c>
      <c r="M107" s="61" t="s">
        <v>2551</v>
      </c>
      <c r="N107" s="61"/>
      <c r="O107" s="61" t="s">
        <v>2552</v>
      </c>
      <c r="P107" s="61" t="s">
        <v>2553</v>
      </c>
      <c r="Q107" s="61" t="s">
        <v>2554</v>
      </c>
      <c r="R107" s="61" t="s">
        <v>2555</v>
      </c>
      <c r="S107" s="61" t="s">
        <v>2556</v>
      </c>
      <c r="T107" s="61" t="s">
        <v>2557</v>
      </c>
      <c r="U107" s="61" t="s">
        <v>2558</v>
      </c>
      <c r="V107" s="62" t="s">
        <v>2559</v>
      </c>
      <c r="W107" s="61" t="s">
        <v>2560</v>
      </c>
      <c r="X107" s="61" t="s">
        <v>2561</v>
      </c>
      <c r="Y107" s="61" t="s">
        <v>2562</v>
      </c>
      <c r="Z107" s="61" t="s">
        <v>2563</v>
      </c>
      <c r="AA107" s="61" t="s">
        <v>2564</v>
      </c>
      <c r="AB107" s="63" t="s">
        <v>2565</v>
      </c>
      <c r="AC107" s="9" t="s">
        <v>301</v>
      </c>
    </row>
    <row r="108" spans="1:29" ht="15.75" thickBot="1" x14ac:dyDescent="0.3">
      <c r="A108" s="44" t="s">
        <v>229</v>
      </c>
      <c r="B108" s="41" t="str">
        <f t="shared" si="10"/>
        <v>Nicht spezifiziertes Säugetier</v>
      </c>
      <c r="C108" s="41" t="str">
        <f>CONCATENATE(B108," [",A108,"]")</f>
        <v>Nicht spezifiziertes Säugetier [A99]</v>
      </c>
      <c r="D108" s="64" t="s">
        <v>1851</v>
      </c>
      <c r="E108" s="65" t="s">
        <v>1852</v>
      </c>
      <c r="F108" s="66" t="s">
        <v>1853</v>
      </c>
      <c r="G108" s="65" t="s">
        <v>1854</v>
      </c>
      <c r="H108" s="65" t="s">
        <v>1855</v>
      </c>
      <c r="I108" s="49" t="s">
        <v>265</v>
      </c>
      <c r="J108" s="65" t="s">
        <v>2566</v>
      </c>
      <c r="K108" s="65" t="s">
        <v>2567</v>
      </c>
      <c r="L108" s="65" t="s">
        <v>2568</v>
      </c>
      <c r="M108" s="65" t="s">
        <v>2569</v>
      </c>
      <c r="N108" s="65"/>
      <c r="O108" s="65" t="s">
        <v>2570</v>
      </c>
      <c r="P108" s="65" t="s">
        <v>2571</v>
      </c>
      <c r="Q108" s="65" t="s">
        <v>2572</v>
      </c>
      <c r="R108" s="65" t="s">
        <v>2573</v>
      </c>
      <c r="S108" s="65" t="s">
        <v>2574</v>
      </c>
      <c r="T108" s="65" t="s">
        <v>2575</v>
      </c>
      <c r="U108" s="65" t="s">
        <v>2576</v>
      </c>
      <c r="V108" s="66" t="s">
        <v>2577</v>
      </c>
      <c r="W108" s="65" t="s">
        <v>2578</v>
      </c>
      <c r="X108" s="65" t="s">
        <v>2579</v>
      </c>
      <c r="Y108" s="65" t="s">
        <v>2580</v>
      </c>
      <c r="Z108" s="65" t="s">
        <v>2581</v>
      </c>
      <c r="AA108" s="65" t="s">
        <v>2582</v>
      </c>
      <c r="AB108" s="67" t="s">
        <v>2583</v>
      </c>
    </row>
    <row r="109" spans="1:29" ht="15.75" thickBot="1" x14ac:dyDescent="0.3"/>
    <row r="110" spans="1:29" x14ac:dyDescent="0.25">
      <c r="A110" s="42" t="s">
        <v>67</v>
      </c>
      <c r="B110" s="42" t="s">
        <v>68</v>
      </c>
      <c r="D110" s="34" t="str">
        <f t="shared" ref="D110:AB110" si="12">languages</f>
        <v>bg</v>
      </c>
      <c r="E110" s="35" t="str">
        <f t="shared" si="12"/>
        <v>cs</v>
      </c>
      <c r="F110" s="35" t="str">
        <f t="shared" si="12"/>
        <v>da</v>
      </c>
      <c r="G110" s="35" t="str">
        <f t="shared" si="12"/>
        <v>de</v>
      </c>
      <c r="H110" s="35" t="str">
        <f t="shared" si="12"/>
        <v>el</v>
      </c>
      <c r="I110" s="35" t="str">
        <f t="shared" si="12"/>
        <v>en</v>
      </c>
      <c r="J110" s="35" t="str">
        <f t="shared" si="12"/>
        <v>es</v>
      </c>
      <c r="K110" s="35" t="str">
        <f t="shared" si="12"/>
        <v>et</v>
      </c>
      <c r="L110" s="35" t="str">
        <f t="shared" si="12"/>
        <v>fi</v>
      </c>
      <c r="M110" s="35" t="str">
        <f t="shared" si="12"/>
        <v>fr</v>
      </c>
      <c r="N110" s="35" t="str">
        <f t="shared" si="12"/>
        <v>ga</v>
      </c>
      <c r="O110" s="35" t="str">
        <f t="shared" si="12"/>
        <v>hr</v>
      </c>
      <c r="P110" s="35" t="str">
        <f t="shared" si="12"/>
        <v>hu</v>
      </c>
      <c r="Q110" s="35" t="str">
        <f t="shared" si="12"/>
        <v>it</v>
      </c>
      <c r="R110" s="35" t="str">
        <f t="shared" si="12"/>
        <v>lt</v>
      </c>
      <c r="S110" s="35" t="str">
        <f t="shared" si="12"/>
        <v>lv</v>
      </c>
      <c r="T110" s="35" t="str">
        <f t="shared" si="12"/>
        <v>mt</v>
      </c>
      <c r="U110" s="35" t="str">
        <f t="shared" si="12"/>
        <v>nl</v>
      </c>
      <c r="V110" s="35" t="str">
        <f t="shared" si="12"/>
        <v>pl</v>
      </c>
      <c r="W110" s="35" t="str">
        <f t="shared" si="12"/>
        <v>pt</v>
      </c>
      <c r="X110" s="35" t="str">
        <f t="shared" si="12"/>
        <v>ro</v>
      </c>
      <c r="Y110" s="35" t="str">
        <f t="shared" si="12"/>
        <v>sk</v>
      </c>
      <c r="Z110" s="35" t="str">
        <f t="shared" si="12"/>
        <v>sl</v>
      </c>
      <c r="AA110" s="35" t="str">
        <f t="shared" si="12"/>
        <v>sv</v>
      </c>
      <c r="AB110" s="36" t="str">
        <f t="shared" si="12"/>
        <v>no</v>
      </c>
    </row>
    <row r="111" spans="1:29" x14ac:dyDescent="0.25">
      <c r="A111" s="9" t="s">
        <v>64</v>
      </c>
      <c r="B111" s="9" t="str">
        <f t="shared" ref="B111:B141" si="13">IF(TRIM(HLOOKUP(language_or_default,textTranslations,MATCH(A111,text,0),FALSE))="",HLOOKUP("en",textTranslations,MATCH(A111,text,0),FALSE),HLOOKUP(language_or_default,textTranslations,MATCH(A111,text,0),FALSE))</f>
        <v>Land</v>
      </c>
      <c r="D111" s="60" t="s">
        <v>2584</v>
      </c>
      <c r="E111" s="61" t="s">
        <v>2585</v>
      </c>
      <c r="F111" s="62" t="s">
        <v>2586</v>
      </c>
      <c r="G111" s="62" t="s">
        <v>2586</v>
      </c>
      <c r="H111" s="61" t="s">
        <v>2587</v>
      </c>
      <c r="I111" s="38" t="s">
        <v>65</v>
      </c>
      <c r="J111" s="61" t="s">
        <v>3083</v>
      </c>
      <c r="K111" s="61" t="s">
        <v>3084</v>
      </c>
      <c r="L111" s="61" t="s">
        <v>3085</v>
      </c>
      <c r="M111" s="61" t="s">
        <v>3086</v>
      </c>
      <c r="N111" s="61"/>
      <c r="O111" s="61" t="s">
        <v>3087</v>
      </c>
      <c r="P111" s="61" t="s">
        <v>3088</v>
      </c>
      <c r="Q111" s="61" t="s">
        <v>3089</v>
      </c>
      <c r="R111" s="61" t="s">
        <v>3090</v>
      </c>
      <c r="S111" s="61" t="s">
        <v>3091</v>
      </c>
      <c r="T111" s="61" t="s">
        <v>3092</v>
      </c>
      <c r="U111" s="61" t="s">
        <v>2586</v>
      </c>
      <c r="V111" s="62" t="s">
        <v>3093</v>
      </c>
      <c r="W111" s="61" t="s">
        <v>3083</v>
      </c>
      <c r="X111" s="61" t="s">
        <v>3094</v>
      </c>
      <c r="Y111" s="61" t="s">
        <v>3095</v>
      </c>
      <c r="Z111" s="61" t="s">
        <v>3087</v>
      </c>
      <c r="AA111" s="61" t="s">
        <v>3096</v>
      </c>
      <c r="AB111" s="63" t="s">
        <v>2586</v>
      </c>
    </row>
    <row r="112" spans="1:29" x14ac:dyDescent="0.25">
      <c r="A112" s="9" t="s">
        <v>66</v>
      </c>
      <c r="B112" s="9" t="str">
        <f t="shared" si="13"/>
        <v>Sprache</v>
      </c>
      <c r="D112" s="60" t="s">
        <v>2588</v>
      </c>
      <c r="E112" s="61" t="s">
        <v>2589</v>
      </c>
      <c r="F112" s="62" t="s">
        <v>2590</v>
      </c>
      <c r="G112" s="62" t="s">
        <v>2591</v>
      </c>
      <c r="H112" s="61" t="s">
        <v>2592</v>
      </c>
      <c r="I112" s="50" t="s">
        <v>69</v>
      </c>
      <c r="J112" s="61" t="s">
        <v>3097</v>
      </c>
      <c r="K112" s="61" t="s">
        <v>3098</v>
      </c>
      <c r="L112" s="61" t="s">
        <v>3099</v>
      </c>
      <c r="M112" s="61" t="s">
        <v>3100</v>
      </c>
      <c r="N112" s="61"/>
      <c r="O112" s="61" t="s">
        <v>3101</v>
      </c>
      <c r="P112" s="61" t="s">
        <v>3102</v>
      </c>
      <c r="Q112" s="61" t="s">
        <v>3103</v>
      </c>
      <c r="R112" s="61" t="s">
        <v>3104</v>
      </c>
      <c r="S112" s="61" t="s">
        <v>3105</v>
      </c>
      <c r="T112" s="61" t="s">
        <v>3106</v>
      </c>
      <c r="U112" s="61" t="s">
        <v>3107</v>
      </c>
      <c r="V112" s="62" t="s">
        <v>3108</v>
      </c>
      <c r="W112" s="61" t="s">
        <v>3109</v>
      </c>
      <c r="X112" s="61" t="s">
        <v>3110</v>
      </c>
      <c r="Y112" s="61" t="s">
        <v>2589</v>
      </c>
      <c r="Z112" s="61" t="s">
        <v>3101</v>
      </c>
      <c r="AA112" s="61" t="s">
        <v>3111</v>
      </c>
      <c r="AB112" s="63" t="s">
        <v>3112</v>
      </c>
    </row>
    <row r="113" spans="1:28" x14ac:dyDescent="0.25">
      <c r="A113" s="9" t="s">
        <v>512</v>
      </c>
      <c r="B113" s="9" t="str">
        <f t="shared" si="13"/>
        <v>Übermittlung an die EU</v>
      </c>
      <c r="D113" s="60" t="s">
        <v>2593</v>
      </c>
      <c r="E113" s="61" t="s">
        <v>2594</v>
      </c>
      <c r="F113" s="62" t="s">
        <v>2595</v>
      </c>
      <c r="G113" s="62" t="s">
        <v>2596</v>
      </c>
      <c r="H113" s="61" t="s">
        <v>2597</v>
      </c>
      <c r="I113" s="50" t="s">
        <v>510</v>
      </c>
      <c r="J113" s="61" t="s">
        <v>3113</v>
      </c>
      <c r="K113" s="61" t="s">
        <v>3114</v>
      </c>
      <c r="L113" s="61" t="s">
        <v>3115</v>
      </c>
      <c r="M113" s="61" t="s">
        <v>3116</v>
      </c>
      <c r="N113" s="61"/>
      <c r="O113" s="61" t="s">
        <v>3117</v>
      </c>
      <c r="P113" s="61" t="s">
        <v>3118</v>
      </c>
      <c r="Q113" s="61" t="s">
        <v>3119</v>
      </c>
      <c r="R113" s="61" t="s">
        <v>3120</v>
      </c>
      <c r="S113" s="61" t="s">
        <v>3121</v>
      </c>
      <c r="T113" s="61" t="s">
        <v>3122</v>
      </c>
      <c r="U113" s="61" t="s">
        <v>3123</v>
      </c>
      <c r="V113" s="62" t="s">
        <v>3124</v>
      </c>
      <c r="W113" s="61" t="s">
        <v>3125</v>
      </c>
      <c r="X113" s="61" t="s">
        <v>3126</v>
      </c>
      <c r="Y113" s="61" t="s">
        <v>3127</v>
      </c>
      <c r="Z113" s="61" t="s">
        <v>3128</v>
      </c>
      <c r="AA113" s="61" t="s">
        <v>3129</v>
      </c>
      <c r="AB113" s="63" t="s">
        <v>3130</v>
      </c>
    </row>
    <row r="114" spans="1:28" x14ac:dyDescent="0.25">
      <c r="A114" s="13" t="s">
        <v>73</v>
      </c>
      <c r="B114" s="9" t="str">
        <f t="shared" si="13"/>
        <v>Titel des Projekts                     (max. 500 Zeichen)</v>
      </c>
      <c r="D114" s="60" t="s">
        <v>2598</v>
      </c>
      <c r="E114" s="61" t="s">
        <v>2599</v>
      </c>
      <c r="F114" s="62" t="s">
        <v>2600</v>
      </c>
      <c r="G114" s="62" t="s">
        <v>4942</v>
      </c>
      <c r="H114" s="61" t="s">
        <v>2601</v>
      </c>
      <c r="I114" s="50" t="s">
        <v>70</v>
      </c>
      <c r="J114" s="61" t="s">
        <v>3131</v>
      </c>
      <c r="K114" s="61" t="s">
        <v>3132</v>
      </c>
      <c r="L114" s="61" t="s">
        <v>3133</v>
      </c>
      <c r="M114" s="61" t="s">
        <v>3134</v>
      </c>
      <c r="N114" s="61"/>
      <c r="O114" s="61" t="s">
        <v>3135</v>
      </c>
      <c r="P114" s="61" t="s">
        <v>3136</v>
      </c>
      <c r="Q114" s="61" t="s">
        <v>3137</v>
      </c>
      <c r="R114" s="61" t="s">
        <v>3138</v>
      </c>
      <c r="S114" s="61" t="s">
        <v>3139</v>
      </c>
      <c r="T114" s="61" t="s">
        <v>3140</v>
      </c>
      <c r="U114" s="61" t="s">
        <v>3141</v>
      </c>
      <c r="V114" s="62" t="s">
        <v>3142</v>
      </c>
      <c r="W114" s="61" t="s">
        <v>3143</v>
      </c>
      <c r="X114" s="61" t="s">
        <v>3144</v>
      </c>
      <c r="Y114" s="61" t="s">
        <v>3145</v>
      </c>
      <c r="Z114" s="61" t="s">
        <v>3135</v>
      </c>
      <c r="AA114" s="61" t="s">
        <v>3146</v>
      </c>
      <c r="AB114" s="63" t="s">
        <v>3147</v>
      </c>
    </row>
    <row r="115" spans="1:28" x14ac:dyDescent="0.25">
      <c r="A115" s="13" t="s">
        <v>74</v>
      </c>
      <c r="B115" s="9" t="str">
        <f t="shared" si="13"/>
        <v>Projektdauer</v>
      </c>
      <c r="D115" s="60" t="s">
        <v>2602</v>
      </c>
      <c r="E115" s="61" t="s">
        <v>2603</v>
      </c>
      <c r="F115" s="62" t="s">
        <v>2604</v>
      </c>
      <c r="G115" s="62" t="s">
        <v>4960</v>
      </c>
      <c r="H115" s="61" t="s">
        <v>2605</v>
      </c>
      <c r="I115" s="50" t="s">
        <v>71</v>
      </c>
      <c r="J115" s="61" t="s">
        <v>3148</v>
      </c>
      <c r="K115" s="61" t="s">
        <v>3149</v>
      </c>
      <c r="L115" s="61" t="s">
        <v>3150</v>
      </c>
      <c r="M115" s="61" t="s">
        <v>3151</v>
      </c>
      <c r="N115" s="61"/>
      <c r="O115" s="61" t="s">
        <v>3152</v>
      </c>
      <c r="P115" s="61" t="s">
        <v>3153</v>
      </c>
      <c r="Q115" s="61" t="s">
        <v>3154</v>
      </c>
      <c r="R115" s="61" t="s">
        <v>3155</v>
      </c>
      <c r="S115" s="61" t="s">
        <v>3156</v>
      </c>
      <c r="T115" s="61" t="s">
        <v>3157</v>
      </c>
      <c r="U115" s="61" t="s">
        <v>3158</v>
      </c>
      <c r="V115" s="62" t="s">
        <v>3159</v>
      </c>
      <c r="W115" s="61" t="s">
        <v>3160</v>
      </c>
      <c r="X115" s="61" t="s">
        <v>3161</v>
      </c>
      <c r="Y115" s="61" t="s">
        <v>3162</v>
      </c>
      <c r="Z115" s="61" t="s">
        <v>3152</v>
      </c>
      <c r="AA115" s="61" t="s">
        <v>3163</v>
      </c>
      <c r="AB115" s="63" t="s">
        <v>3164</v>
      </c>
    </row>
    <row r="116" spans="1:28" x14ac:dyDescent="0.25">
      <c r="A116" s="13" t="s">
        <v>72</v>
      </c>
      <c r="B116" s="9" t="str">
        <f t="shared" si="13"/>
        <v>Schlüsselbegriffe                    (je max. 50 Zeichen)</v>
      </c>
      <c r="D116" s="60" t="s">
        <v>2606</v>
      </c>
      <c r="E116" s="61" t="s">
        <v>2607</v>
      </c>
      <c r="F116" s="62" t="s">
        <v>2608</v>
      </c>
      <c r="G116" s="62" t="s">
        <v>4941</v>
      </c>
      <c r="H116" s="61" t="s">
        <v>2609</v>
      </c>
      <c r="I116" s="50" t="s">
        <v>75</v>
      </c>
      <c r="J116" s="61" t="s">
        <v>3165</v>
      </c>
      <c r="K116" s="61" t="s">
        <v>3166</v>
      </c>
      <c r="L116" s="61" t="s">
        <v>3167</v>
      </c>
      <c r="M116" s="61" t="s">
        <v>3168</v>
      </c>
      <c r="N116" s="61"/>
      <c r="O116" s="61" t="s">
        <v>3169</v>
      </c>
      <c r="P116" s="61" t="s">
        <v>3170</v>
      </c>
      <c r="Q116" s="61" t="s">
        <v>3171</v>
      </c>
      <c r="R116" s="61" t="s">
        <v>3172</v>
      </c>
      <c r="S116" s="61" t="s">
        <v>3173</v>
      </c>
      <c r="T116" s="61" t="s">
        <v>3174</v>
      </c>
      <c r="U116" s="61" t="s">
        <v>3175</v>
      </c>
      <c r="V116" s="62" t="s">
        <v>3176</v>
      </c>
      <c r="W116" s="61" t="s">
        <v>3177</v>
      </c>
      <c r="X116" s="61" t="s">
        <v>3178</v>
      </c>
      <c r="Y116" s="61" t="s">
        <v>3179</v>
      </c>
      <c r="Z116" s="61" t="s">
        <v>3180</v>
      </c>
      <c r="AA116" s="61" t="s">
        <v>3181</v>
      </c>
      <c r="AB116" s="63" t="s">
        <v>3182</v>
      </c>
    </row>
    <row r="117" spans="1:28" x14ac:dyDescent="0.25">
      <c r="A117" s="13" t="s">
        <v>76</v>
      </c>
      <c r="B117" s="9" t="str">
        <f t="shared" si="13"/>
        <v>Schlüsselbegriff</v>
      </c>
      <c r="D117" s="60" t="s">
        <v>2610</v>
      </c>
      <c r="E117" s="61" t="s">
        <v>2611</v>
      </c>
      <c r="F117" s="62" t="s">
        <v>2608</v>
      </c>
      <c r="G117" s="62" t="s">
        <v>2612</v>
      </c>
      <c r="H117" s="61" t="s">
        <v>2613</v>
      </c>
      <c r="I117" s="50" t="s">
        <v>77</v>
      </c>
      <c r="J117" s="61" t="s">
        <v>3183</v>
      </c>
      <c r="K117" s="61" t="s">
        <v>3184</v>
      </c>
      <c r="L117" s="61" t="s">
        <v>3185</v>
      </c>
      <c r="M117" s="61" t="s">
        <v>3186</v>
      </c>
      <c r="N117" s="61"/>
      <c r="O117" s="61" t="s">
        <v>3187</v>
      </c>
      <c r="P117" s="61" t="s">
        <v>3188</v>
      </c>
      <c r="Q117" s="61" t="s">
        <v>3189</v>
      </c>
      <c r="R117" s="61" t="s">
        <v>3190</v>
      </c>
      <c r="S117" s="61" t="s">
        <v>3191</v>
      </c>
      <c r="T117" s="61" t="s">
        <v>3192</v>
      </c>
      <c r="U117" s="61" t="s">
        <v>3193</v>
      </c>
      <c r="V117" s="62" t="s">
        <v>3194</v>
      </c>
      <c r="W117" s="61" t="s">
        <v>3195</v>
      </c>
      <c r="X117" s="61" t="s">
        <v>3196</v>
      </c>
      <c r="Y117" s="61" t="s">
        <v>3197</v>
      </c>
      <c r="Z117" s="61" t="s">
        <v>3198</v>
      </c>
      <c r="AA117" s="61" t="s">
        <v>3181</v>
      </c>
      <c r="AB117" s="63" t="s">
        <v>3182</v>
      </c>
    </row>
    <row r="118" spans="1:28" x14ac:dyDescent="0.25">
      <c r="A118" s="13" t="s">
        <v>78</v>
      </c>
      <c r="B118" s="9" t="str">
        <f t="shared" si="13"/>
        <v>Projektziel(e)</v>
      </c>
      <c r="D118" s="60" t="s">
        <v>2614</v>
      </c>
      <c r="E118" s="61" t="s">
        <v>2615</v>
      </c>
      <c r="F118" s="62" t="s">
        <v>2616</v>
      </c>
      <c r="G118" s="62" t="s">
        <v>2617</v>
      </c>
      <c r="H118" s="61" t="s">
        <v>4934</v>
      </c>
      <c r="I118" s="38" t="s">
        <v>492</v>
      </c>
      <c r="J118" s="61" t="s">
        <v>3199</v>
      </c>
      <c r="K118" s="61" t="s">
        <v>3200</v>
      </c>
      <c r="L118" s="61" t="s">
        <v>3201</v>
      </c>
      <c r="M118" s="61" t="s">
        <v>3202</v>
      </c>
      <c r="N118" s="61"/>
      <c r="O118" s="61" t="s">
        <v>3203</v>
      </c>
      <c r="P118" s="61" t="s">
        <v>3204</v>
      </c>
      <c r="Q118" s="61" t="s">
        <v>3205</v>
      </c>
      <c r="R118" s="61" t="s">
        <v>3206</v>
      </c>
      <c r="S118" s="61" t="s">
        <v>3207</v>
      </c>
      <c r="T118" s="61" t="s">
        <v>3208</v>
      </c>
      <c r="U118" s="61" t="s">
        <v>3209</v>
      </c>
      <c r="V118" s="62" t="s">
        <v>3210</v>
      </c>
      <c r="W118" s="61" t="s">
        <v>3211</v>
      </c>
      <c r="X118" s="61" t="s">
        <v>3212</v>
      </c>
      <c r="Y118" s="61" t="s">
        <v>3213</v>
      </c>
      <c r="Z118" s="61" t="s">
        <v>3214</v>
      </c>
      <c r="AA118" s="61" t="s">
        <v>3215</v>
      </c>
      <c r="AB118" s="63" t="s">
        <v>3216</v>
      </c>
    </row>
    <row r="119" spans="1:28" x14ac:dyDescent="0.25">
      <c r="A119" s="13" t="s">
        <v>79</v>
      </c>
      <c r="B119" s="9" t="str">
        <f t="shared" si="13"/>
        <v>Grundlagenforschung</v>
      </c>
      <c r="D119" s="60" t="s">
        <v>565</v>
      </c>
      <c r="E119" s="61" t="s">
        <v>566</v>
      </c>
      <c r="F119" s="62" t="s">
        <v>567</v>
      </c>
      <c r="G119" s="62" t="s">
        <v>568</v>
      </c>
      <c r="H119" s="61" t="s">
        <v>569</v>
      </c>
      <c r="I119" s="38" t="s">
        <v>91</v>
      </c>
      <c r="J119" s="61" t="s">
        <v>615</v>
      </c>
      <c r="K119" s="61" t="s">
        <v>616</v>
      </c>
      <c r="L119" s="61" t="s">
        <v>617</v>
      </c>
      <c r="M119" s="61" t="s">
        <v>618</v>
      </c>
      <c r="N119" s="61"/>
      <c r="O119" s="61" t="s">
        <v>619</v>
      </c>
      <c r="P119" s="61" t="s">
        <v>620</v>
      </c>
      <c r="Q119" s="61" t="s">
        <v>621</v>
      </c>
      <c r="R119" s="61" t="s">
        <v>622</v>
      </c>
      <c r="S119" s="61" t="s">
        <v>623</v>
      </c>
      <c r="T119" s="61" t="s">
        <v>624</v>
      </c>
      <c r="U119" s="61" t="s">
        <v>625</v>
      </c>
      <c r="V119" s="62" t="s">
        <v>626</v>
      </c>
      <c r="W119" s="61" t="s">
        <v>627</v>
      </c>
      <c r="X119" s="61" t="s">
        <v>628</v>
      </c>
      <c r="Y119" s="61" t="s">
        <v>629</v>
      </c>
      <c r="Z119" s="61" t="s">
        <v>630</v>
      </c>
      <c r="AA119" s="61" t="s">
        <v>631</v>
      </c>
      <c r="AB119" s="63" t="s">
        <v>632</v>
      </c>
    </row>
    <row r="120" spans="1:28" x14ac:dyDescent="0.25">
      <c r="A120" s="13" t="s">
        <v>80</v>
      </c>
      <c r="B120" s="9" t="str">
        <f t="shared" si="13"/>
        <v>Translationale und angewandte Forschung</v>
      </c>
      <c r="D120" s="60" t="s">
        <v>570</v>
      </c>
      <c r="E120" s="61" t="s">
        <v>571</v>
      </c>
      <c r="F120" s="62" t="s">
        <v>572</v>
      </c>
      <c r="G120" s="62" t="s">
        <v>573</v>
      </c>
      <c r="H120" s="61" t="s">
        <v>574</v>
      </c>
      <c r="I120" s="38" t="s">
        <v>92</v>
      </c>
      <c r="J120" s="61" t="s">
        <v>633</v>
      </c>
      <c r="K120" s="61" t="s">
        <v>634</v>
      </c>
      <c r="L120" s="61" t="s">
        <v>635</v>
      </c>
      <c r="M120" s="61" t="s">
        <v>636</v>
      </c>
      <c r="N120" s="61"/>
      <c r="O120" s="61" t="s">
        <v>637</v>
      </c>
      <c r="P120" s="61" t="s">
        <v>638</v>
      </c>
      <c r="Q120" s="61" t="s">
        <v>639</v>
      </c>
      <c r="R120" s="61" t="s">
        <v>640</v>
      </c>
      <c r="S120" s="61" t="s">
        <v>641</v>
      </c>
      <c r="T120" s="61" t="s">
        <v>642</v>
      </c>
      <c r="U120" s="61" t="s">
        <v>643</v>
      </c>
      <c r="V120" s="62" t="s">
        <v>644</v>
      </c>
      <c r="W120" s="61" t="s">
        <v>645</v>
      </c>
      <c r="X120" s="61" t="s">
        <v>646</v>
      </c>
      <c r="Y120" s="61" t="s">
        <v>647</v>
      </c>
      <c r="Z120" s="61" t="s">
        <v>648</v>
      </c>
      <c r="AA120" s="61" t="s">
        <v>649</v>
      </c>
      <c r="AB120" s="63" t="s">
        <v>650</v>
      </c>
    </row>
    <row r="121" spans="1:28" x14ac:dyDescent="0.25">
      <c r="A121" s="13" t="s">
        <v>81</v>
      </c>
      <c r="B121" s="9" t="str">
        <f t="shared" si="13"/>
        <v>Verwendung zu regulatorischen Zwecken: Qualitätskontrolle (einschließlich Chargenunbedenklichkeits- und -potenzprüfungen)</v>
      </c>
      <c r="D121" s="60" t="s">
        <v>2618</v>
      </c>
      <c r="E121" s="61" t="s">
        <v>2619</v>
      </c>
      <c r="F121" s="62" t="s">
        <v>2620</v>
      </c>
      <c r="G121" s="62" t="s">
        <v>2621</v>
      </c>
      <c r="H121" s="61" t="s">
        <v>2622</v>
      </c>
      <c r="I121" s="38" t="s">
        <v>93</v>
      </c>
      <c r="J121" s="61" t="s">
        <v>3217</v>
      </c>
      <c r="K121" s="61" t="s">
        <v>3218</v>
      </c>
      <c r="L121" s="61" t="s">
        <v>3219</v>
      </c>
      <c r="M121" s="61" t="s">
        <v>3220</v>
      </c>
      <c r="N121" s="61"/>
      <c r="O121" s="61" t="s">
        <v>3221</v>
      </c>
      <c r="P121" s="61" t="s">
        <v>3222</v>
      </c>
      <c r="Q121" s="61" t="s">
        <v>3223</v>
      </c>
      <c r="R121" s="61" t="s">
        <v>3224</v>
      </c>
      <c r="S121" s="61" t="s">
        <v>3225</v>
      </c>
      <c r="T121" s="61" t="s">
        <v>3226</v>
      </c>
      <c r="U121" s="61" t="s">
        <v>3227</v>
      </c>
      <c r="V121" s="62" t="s">
        <v>3228</v>
      </c>
      <c r="W121" s="61" t="s">
        <v>3229</v>
      </c>
      <c r="X121" s="61" t="s">
        <v>3230</v>
      </c>
      <c r="Y121" s="61" t="s">
        <v>3231</v>
      </c>
      <c r="Z121" s="61" t="s">
        <v>3232</v>
      </c>
      <c r="AA121" s="61" t="s">
        <v>3233</v>
      </c>
      <c r="AB121" s="63" t="s">
        <v>3234</v>
      </c>
    </row>
    <row r="122" spans="1:28" x14ac:dyDescent="0.25">
      <c r="A122" s="13" t="s">
        <v>82</v>
      </c>
      <c r="B122" s="9" t="str">
        <f t="shared" si="13"/>
        <v>Verwendung zu regulatorischen Zwecken: Andere Wirksamkeits- und Toleranzprüfungen</v>
      </c>
      <c r="D122" s="60" t="s">
        <v>2623</v>
      </c>
      <c r="E122" s="61" t="s">
        <v>2624</v>
      </c>
      <c r="F122" s="62" t="s">
        <v>2625</v>
      </c>
      <c r="G122" s="62" t="s">
        <v>2626</v>
      </c>
      <c r="H122" s="61" t="s">
        <v>2627</v>
      </c>
      <c r="I122" s="38" t="s">
        <v>94</v>
      </c>
      <c r="J122" s="61" t="s">
        <v>3235</v>
      </c>
      <c r="K122" s="61" t="s">
        <v>3236</v>
      </c>
      <c r="L122" s="61" t="s">
        <v>3237</v>
      </c>
      <c r="M122" s="61" t="s">
        <v>3238</v>
      </c>
      <c r="N122" s="61"/>
      <c r="O122" s="61" t="s">
        <v>3239</v>
      </c>
      <c r="P122" s="61" t="s">
        <v>3240</v>
      </c>
      <c r="Q122" s="61" t="s">
        <v>3241</v>
      </c>
      <c r="R122" s="61" t="s">
        <v>3242</v>
      </c>
      <c r="S122" s="61" t="s">
        <v>3243</v>
      </c>
      <c r="T122" s="61" t="s">
        <v>3244</v>
      </c>
      <c r="U122" s="61" t="s">
        <v>3245</v>
      </c>
      <c r="V122" s="62" t="s">
        <v>3246</v>
      </c>
      <c r="W122" s="61" t="s">
        <v>3247</v>
      </c>
      <c r="X122" s="61" t="s">
        <v>3248</v>
      </c>
      <c r="Y122" s="61" t="s">
        <v>3249</v>
      </c>
      <c r="Z122" s="61" t="s">
        <v>3250</v>
      </c>
      <c r="AA122" s="61" t="s">
        <v>3251</v>
      </c>
      <c r="AB122" s="63" t="s">
        <v>3252</v>
      </c>
    </row>
    <row r="123" spans="1:28" x14ac:dyDescent="0.25">
      <c r="A123" s="13" t="s">
        <v>83</v>
      </c>
      <c r="B123" s="9" t="str">
        <f t="shared" si="13"/>
        <v>Verwendung zu regulatorischen Zwecken: Toxizitäts- und andere Unbedenklichkeitsprüfungen, einschließlich pharmakologischer Tests</v>
      </c>
      <c r="D123" s="60" t="s">
        <v>2628</v>
      </c>
      <c r="E123" s="61" t="s">
        <v>2629</v>
      </c>
      <c r="F123" s="62" t="s">
        <v>2630</v>
      </c>
      <c r="G123" s="62" t="s">
        <v>2631</v>
      </c>
      <c r="H123" s="61" t="s">
        <v>2632</v>
      </c>
      <c r="I123" s="38" t="s">
        <v>95</v>
      </c>
      <c r="J123" s="61" t="s">
        <v>3253</v>
      </c>
      <c r="K123" s="61" t="s">
        <v>3254</v>
      </c>
      <c r="L123" s="61" t="s">
        <v>3255</v>
      </c>
      <c r="M123" s="61" t="s">
        <v>3256</v>
      </c>
      <c r="N123" s="61"/>
      <c r="O123" s="61" t="s">
        <v>3257</v>
      </c>
      <c r="P123" s="61" t="s">
        <v>3258</v>
      </c>
      <c r="Q123" s="61" t="s">
        <v>3259</v>
      </c>
      <c r="R123" s="61" t="s">
        <v>3260</v>
      </c>
      <c r="S123" s="61" t="s">
        <v>3261</v>
      </c>
      <c r="T123" s="61" t="s">
        <v>3262</v>
      </c>
      <c r="U123" s="61" t="s">
        <v>3263</v>
      </c>
      <c r="V123" s="62" t="s">
        <v>3264</v>
      </c>
      <c r="W123" s="61" t="s">
        <v>3265</v>
      </c>
      <c r="X123" s="61" t="s">
        <v>3266</v>
      </c>
      <c r="Y123" s="61" t="s">
        <v>3267</v>
      </c>
      <c r="Z123" s="61" t="s">
        <v>3268</v>
      </c>
      <c r="AA123" s="61" t="s">
        <v>3269</v>
      </c>
      <c r="AB123" s="63" t="s">
        <v>3270</v>
      </c>
    </row>
    <row r="124" spans="1:28" x14ac:dyDescent="0.25">
      <c r="A124" s="13" t="s">
        <v>84</v>
      </c>
      <c r="B124" s="9" t="str">
        <f t="shared" si="13"/>
        <v>Routineproduktion</v>
      </c>
      <c r="D124" s="60" t="s">
        <v>2633</v>
      </c>
      <c r="E124" s="61" t="s">
        <v>2634</v>
      </c>
      <c r="F124" s="62" t="s">
        <v>2635</v>
      </c>
      <c r="G124" s="62" t="s">
        <v>2636</v>
      </c>
      <c r="H124" s="61" t="s">
        <v>2637</v>
      </c>
      <c r="I124" s="38" t="s">
        <v>96</v>
      </c>
      <c r="J124" s="61" t="s">
        <v>3271</v>
      </c>
      <c r="K124" s="61" t="s">
        <v>3272</v>
      </c>
      <c r="L124" s="61" t="s">
        <v>3273</v>
      </c>
      <c r="M124" s="61" t="s">
        <v>3274</v>
      </c>
      <c r="N124" s="61"/>
      <c r="O124" s="61" t="s">
        <v>3275</v>
      </c>
      <c r="P124" s="61" t="s">
        <v>3276</v>
      </c>
      <c r="Q124" s="61" t="s">
        <v>3277</v>
      </c>
      <c r="R124" s="61" t="s">
        <v>3278</v>
      </c>
      <c r="S124" s="61" t="s">
        <v>3279</v>
      </c>
      <c r="T124" s="61" t="s">
        <v>3280</v>
      </c>
      <c r="U124" s="61" t="s">
        <v>3281</v>
      </c>
      <c r="V124" s="62" t="s">
        <v>3282</v>
      </c>
      <c r="W124" s="61" t="s">
        <v>3283</v>
      </c>
      <c r="X124" s="61" t="s">
        <v>3284</v>
      </c>
      <c r="Y124" s="61" t="s">
        <v>3285</v>
      </c>
      <c r="Z124" s="61" t="s">
        <v>3286</v>
      </c>
      <c r="AA124" s="61" t="s">
        <v>3287</v>
      </c>
      <c r="AB124" s="63" t="s">
        <v>3288</v>
      </c>
    </row>
    <row r="125" spans="1:28" x14ac:dyDescent="0.25">
      <c r="A125" s="13" t="s">
        <v>85</v>
      </c>
      <c r="B125" s="9" t="str">
        <f t="shared" si="13"/>
        <v>Schutz der natürlichen Umwelt im Interesse der Gesundheit oder des Wohlbefindens von Menschen und Tieren</v>
      </c>
      <c r="D125" s="60" t="s">
        <v>580</v>
      </c>
      <c r="E125" s="61" t="s">
        <v>581</v>
      </c>
      <c r="F125" s="62" t="s">
        <v>582</v>
      </c>
      <c r="G125" s="62" t="s">
        <v>583</v>
      </c>
      <c r="H125" s="61" t="s">
        <v>584</v>
      </c>
      <c r="I125" s="38" t="s">
        <v>97</v>
      </c>
      <c r="J125" s="61" t="s">
        <v>3289</v>
      </c>
      <c r="K125" s="61" t="s">
        <v>670</v>
      </c>
      <c r="L125" s="61" t="s">
        <v>671</v>
      </c>
      <c r="M125" s="61" t="s">
        <v>672</v>
      </c>
      <c r="N125" s="61"/>
      <c r="O125" s="61" t="s">
        <v>673</v>
      </c>
      <c r="P125" s="61" t="s">
        <v>674</v>
      </c>
      <c r="Q125" s="61" t="s">
        <v>675</v>
      </c>
      <c r="R125" s="61" t="s">
        <v>676</v>
      </c>
      <c r="S125" s="61" t="s">
        <v>677</v>
      </c>
      <c r="T125" s="61" t="s">
        <v>678</v>
      </c>
      <c r="U125" s="61" t="s">
        <v>679</v>
      </c>
      <c r="V125" s="62" t="s">
        <v>680</v>
      </c>
      <c r="W125" s="61" t="s">
        <v>681</v>
      </c>
      <c r="X125" s="61" t="s">
        <v>682</v>
      </c>
      <c r="Y125" s="61" t="s">
        <v>683</v>
      </c>
      <c r="Z125" s="61" t="s">
        <v>684</v>
      </c>
      <c r="AA125" s="61" t="s">
        <v>685</v>
      </c>
      <c r="AB125" s="63" t="s">
        <v>686</v>
      </c>
    </row>
    <row r="126" spans="1:28" x14ac:dyDescent="0.25">
      <c r="A126" s="13" t="s">
        <v>86</v>
      </c>
      <c r="B126" s="9" t="str">
        <f t="shared" si="13"/>
        <v>Erhaltung der Art</v>
      </c>
      <c r="D126" s="60" t="s">
        <v>585</v>
      </c>
      <c r="E126" s="61" t="s">
        <v>586</v>
      </c>
      <c r="F126" s="62" t="s">
        <v>587</v>
      </c>
      <c r="G126" s="62" t="s">
        <v>588</v>
      </c>
      <c r="H126" s="61" t="s">
        <v>589</v>
      </c>
      <c r="I126" s="38" t="s">
        <v>98</v>
      </c>
      <c r="J126" s="61" t="s">
        <v>687</v>
      </c>
      <c r="K126" s="61" t="s">
        <v>688</v>
      </c>
      <c r="L126" s="61" t="s">
        <v>689</v>
      </c>
      <c r="M126" s="61" t="s">
        <v>690</v>
      </c>
      <c r="N126" s="61"/>
      <c r="O126" s="61" t="s">
        <v>691</v>
      </c>
      <c r="P126" s="61" t="s">
        <v>692</v>
      </c>
      <c r="Q126" s="61" t="s">
        <v>693</v>
      </c>
      <c r="R126" s="61" t="s">
        <v>694</v>
      </c>
      <c r="S126" s="61" t="s">
        <v>695</v>
      </c>
      <c r="T126" s="61" t="s">
        <v>696</v>
      </c>
      <c r="U126" s="61" t="s">
        <v>697</v>
      </c>
      <c r="V126" s="62" t="s">
        <v>698</v>
      </c>
      <c r="W126" s="61" t="s">
        <v>699</v>
      </c>
      <c r="X126" s="61" t="s">
        <v>700</v>
      </c>
      <c r="Y126" s="61" t="s">
        <v>701</v>
      </c>
      <c r="Z126" s="61" t="s">
        <v>702</v>
      </c>
      <c r="AA126" s="61" t="s">
        <v>703</v>
      </c>
      <c r="AB126" s="63" t="s">
        <v>704</v>
      </c>
    </row>
    <row r="127" spans="1:28" x14ac:dyDescent="0.25">
      <c r="A127" s="13" t="s">
        <v>87</v>
      </c>
      <c r="B127" s="9" t="str">
        <f t="shared" si="13"/>
        <v>Hochschulausbildung</v>
      </c>
      <c r="D127" s="60" t="s">
        <v>590</v>
      </c>
      <c r="E127" s="61" t="s">
        <v>591</v>
      </c>
      <c r="F127" s="62" t="s">
        <v>592</v>
      </c>
      <c r="G127" s="62" t="s">
        <v>593</v>
      </c>
      <c r="H127" s="61" t="s">
        <v>594</v>
      </c>
      <c r="I127" s="38" t="s">
        <v>99</v>
      </c>
      <c r="J127" s="61" t="s">
        <v>3290</v>
      </c>
      <c r="K127" s="61" t="s">
        <v>706</v>
      </c>
      <c r="L127" s="61" t="s">
        <v>707</v>
      </c>
      <c r="M127" s="61" t="s">
        <v>708</v>
      </c>
      <c r="N127" s="61"/>
      <c r="O127" s="61" t="s">
        <v>709</v>
      </c>
      <c r="P127" s="61" t="s">
        <v>710</v>
      </c>
      <c r="Q127" s="61" t="s">
        <v>711</v>
      </c>
      <c r="R127" s="61" t="s">
        <v>712</v>
      </c>
      <c r="S127" s="61" t="s">
        <v>713</v>
      </c>
      <c r="T127" s="61" t="s">
        <v>714</v>
      </c>
      <c r="U127" s="61" t="s">
        <v>715</v>
      </c>
      <c r="V127" s="62" t="s">
        <v>716</v>
      </c>
      <c r="W127" s="61" t="s">
        <v>717</v>
      </c>
      <c r="X127" s="61" t="s">
        <v>718</v>
      </c>
      <c r="Y127" s="61" t="s">
        <v>719</v>
      </c>
      <c r="Z127" s="61" t="s">
        <v>720</v>
      </c>
      <c r="AA127" s="61" t="s">
        <v>721</v>
      </c>
      <c r="AB127" s="63" t="s">
        <v>722</v>
      </c>
    </row>
    <row r="128" spans="1:28" x14ac:dyDescent="0.25">
      <c r="A128" s="13" t="s">
        <v>88</v>
      </c>
      <c r="B128" s="9" t="str">
        <f t="shared" si="13"/>
        <v>Schulung</v>
      </c>
      <c r="D128" s="60" t="s">
        <v>2638</v>
      </c>
      <c r="E128" s="61" t="s">
        <v>2639</v>
      </c>
      <c r="F128" s="62" t="s">
        <v>2640</v>
      </c>
      <c r="G128" s="62" t="s">
        <v>2641</v>
      </c>
      <c r="H128" s="61" t="s">
        <v>2642</v>
      </c>
      <c r="I128" s="38" t="s">
        <v>100</v>
      </c>
      <c r="J128" s="61" t="s">
        <v>3291</v>
      </c>
      <c r="K128" s="61" t="s">
        <v>3292</v>
      </c>
      <c r="L128" s="61" t="s">
        <v>3293</v>
      </c>
      <c r="M128" s="61" t="s">
        <v>3294</v>
      </c>
      <c r="N128" s="61"/>
      <c r="O128" s="61" t="s">
        <v>3295</v>
      </c>
      <c r="P128" s="61" t="s">
        <v>3296</v>
      </c>
      <c r="Q128" s="61" t="s">
        <v>3297</v>
      </c>
      <c r="R128" s="61" t="s">
        <v>3298</v>
      </c>
      <c r="S128" s="61" t="s">
        <v>3299</v>
      </c>
      <c r="T128" s="61" t="s">
        <v>3300</v>
      </c>
      <c r="U128" s="61" t="s">
        <v>3301</v>
      </c>
      <c r="V128" s="62" t="s">
        <v>3302</v>
      </c>
      <c r="W128" s="61" t="s">
        <v>3303</v>
      </c>
      <c r="X128" s="61" t="s">
        <v>3304</v>
      </c>
      <c r="Y128" s="61" t="s">
        <v>3305</v>
      </c>
      <c r="Z128" s="61" t="s">
        <v>3306</v>
      </c>
      <c r="AA128" s="61" t="s">
        <v>3307</v>
      </c>
      <c r="AB128" s="63" t="s">
        <v>3308</v>
      </c>
    </row>
    <row r="129" spans="1:28" x14ac:dyDescent="0.25">
      <c r="A129" s="13" t="s">
        <v>89</v>
      </c>
      <c r="B129" s="9" t="str">
        <f t="shared" si="13"/>
        <v>Forensische Untersuchungen</v>
      </c>
      <c r="D129" s="60" t="s">
        <v>600</v>
      </c>
      <c r="E129" s="61" t="s">
        <v>601</v>
      </c>
      <c r="F129" s="62" t="s">
        <v>602</v>
      </c>
      <c r="G129" s="62" t="s">
        <v>603</v>
      </c>
      <c r="H129" s="61" t="s">
        <v>604</v>
      </c>
      <c r="I129" s="38" t="s">
        <v>101</v>
      </c>
      <c r="J129" s="61" t="s">
        <v>3309</v>
      </c>
      <c r="K129" s="61" t="s">
        <v>742</v>
      </c>
      <c r="L129" s="61" t="s">
        <v>743</v>
      </c>
      <c r="M129" s="61" t="s">
        <v>744</v>
      </c>
      <c r="N129" s="61"/>
      <c r="O129" s="61" t="s">
        <v>745</v>
      </c>
      <c r="P129" s="61" t="s">
        <v>746</v>
      </c>
      <c r="Q129" s="61" t="s">
        <v>747</v>
      </c>
      <c r="R129" s="61" t="s">
        <v>748</v>
      </c>
      <c r="S129" s="61" t="s">
        <v>749</v>
      </c>
      <c r="T129" s="61" t="s">
        <v>750</v>
      </c>
      <c r="U129" s="61" t="s">
        <v>751</v>
      </c>
      <c r="V129" s="62" t="s">
        <v>752</v>
      </c>
      <c r="W129" s="61" t="s">
        <v>753</v>
      </c>
      <c r="X129" s="61" t="s">
        <v>754</v>
      </c>
      <c r="Y129" s="61" t="s">
        <v>755</v>
      </c>
      <c r="Z129" s="61" t="s">
        <v>756</v>
      </c>
      <c r="AA129" s="61" t="s">
        <v>757</v>
      </c>
      <c r="AB129" s="63" t="s">
        <v>758</v>
      </c>
    </row>
    <row r="130" spans="1:28" x14ac:dyDescent="0.25">
      <c r="A130" s="13" t="s">
        <v>90</v>
      </c>
      <c r="B130" s="9" t="str">
        <f t="shared" si="13"/>
        <v>Erhaltung von Kolonien genetisch veränderter Tiere, die nicht in anderen Verfahren verwendet werden</v>
      </c>
      <c r="D130" s="60" t="s">
        <v>2643</v>
      </c>
      <c r="E130" s="61" t="s">
        <v>2644</v>
      </c>
      <c r="F130" s="62" t="s">
        <v>2645</v>
      </c>
      <c r="G130" s="62" t="s">
        <v>2646</v>
      </c>
      <c r="H130" s="61" t="s">
        <v>2647</v>
      </c>
      <c r="I130" s="38" t="s">
        <v>102</v>
      </c>
      <c r="J130" s="61" t="s">
        <v>3310</v>
      </c>
      <c r="K130" s="61" t="s">
        <v>3311</v>
      </c>
      <c r="L130" s="61" t="s">
        <v>3312</v>
      </c>
      <c r="M130" s="61" t="s">
        <v>3313</v>
      </c>
      <c r="N130" s="61"/>
      <c r="O130" s="61" t="s">
        <v>3314</v>
      </c>
      <c r="P130" s="61" t="s">
        <v>3315</v>
      </c>
      <c r="Q130" s="61" t="s">
        <v>3316</v>
      </c>
      <c r="R130" s="61" t="s">
        <v>3317</v>
      </c>
      <c r="S130" s="61" t="s">
        <v>3318</v>
      </c>
      <c r="T130" s="61" t="s">
        <v>3319</v>
      </c>
      <c r="U130" s="61" t="s">
        <v>3320</v>
      </c>
      <c r="V130" s="62" t="s">
        <v>3321</v>
      </c>
      <c r="W130" s="61" t="s">
        <v>3322</v>
      </c>
      <c r="X130" s="61" t="s">
        <v>3323</v>
      </c>
      <c r="Y130" s="61" t="s">
        <v>3324</v>
      </c>
      <c r="Z130" s="61" t="s">
        <v>3325</v>
      </c>
      <c r="AA130" s="61" t="s">
        <v>3326</v>
      </c>
      <c r="AB130" s="63" t="s">
        <v>3327</v>
      </c>
    </row>
    <row r="131" spans="1:28" ht="30" x14ac:dyDescent="0.25">
      <c r="A131" s="13" t="s">
        <v>106</v>
      </c>
      <c r="B131" s="9" t="str">
        <f t="shared" si="13"/>
        <v>Nichttechnische Projektzusammenfassung
zur Veröffentlichung</v>
      </c>
      <c r="D131" s="60" t="s">
        <v>2648</v>
      </c>
      <c r="E131" s="61" t="s">
        <v>2649</v>
      </c>
      <c r="F131" s="62" t="s">
        <v>2650</v>
      </c>
      <c r="G131" s="116" t="s">
        <v>4968</v>
      </c>
      <c r="H131" s="61" t="s">
        <v>2651</v>
      </c>
      <c r="I131" s="38" t="s">
        <v>105</v>
      </c>
      <c r="J131" s="61" t="s">
        <v>3328</v>
      </c>
      <c r="K131" s="61" t="s">
        <v>3329</v>
      </c>
      <c r="L131" s="61" t="s">
        <v>3330</v>
      </c>
      <c r="M131" s="61" t="s">
        <v>3331</v>
      </c>
      <c r="N131" s="61"/>
      <c r="O131" s="61" t="s">
        <v>3332</v>
      </c>
      <c r="P131" s="61" t="s">
        <v>3333</v>
      </c>
      <c r="Q131" s="61" t="s">
        <v>3334</v>
      </c>
      <c r="R131" s="61" t="s">
        <v>3335</v>
      </c>
      <c r="S131" s="61" t="s">
        <v>3336</v>
      </c>
      <c r="T131" s="61" t="s">
        <v>3337</v>
      </c>
      <c r="U131" s="61" t="s">
        <v>3338</v>
      </c>
      <c r="V131" s="62" t="s">
        <v>3339</v>
      </c>
      <c r="W131" s="61" t="s">
        <v>3340</v>
      </c>
      <c r="X131" s="61" t="s">
        <v>3341</v>
      </c>
      <c r="Y131" s="61" t="s">
        <v>3342</v>
      </c>
      <c r="Z131" s="61" t="s">
        <v>3343</v>
      </c>
      <c r="AA131" s="61" t="s">
        <v>3344</v>
      </c>
      <c r="AB131" s="63" t="s">
        <v>3345</v>
      </c>
    </row>
    <row r="132" spans="1:28" x14ac:dyDescent="0.25">
      <c r="A132" s="9" t="s">
        <v>108</v>
      </c>
      <c r="B132" s="9" t="str">
        <f t="shared" si="13"/>
        <v>Bitte mindestens ein Ziel angeben.</v>
      </c>
      <c r="D132" s="60" t="s">
        <v>2652</v>
      </c>
      <c r="E132" s="61" t="s">
        <v>2653</v>
      </c>
      <c r="F132" s="62" t="s">
        <v>2654</v>
      </c>
      <c r="G132" s="62" t="s">
        <v>2655</v>
      </c>
      <c r="H132" s="61" t="s">
        <v>2656</v>
      </c>
      <c r="I132" s="50" t="s">
        <v>355</v>
      </c>
      <c r="J132" s="61" t="s">
        <v>3346</v>
      </c>
      <c r="K132" s="61" t="s">
        <v>3347</v>
      </c>
      <c r="L132" s="61" t="s">
        <v>3348</v>
      </c>
      <c r="M132" s="61" t="s">
        <v>3349</v>
      </c>
      <c r="N132" s="61"/>
      <c r="O132" s="61" t="s">
        <v>3350</v>
      </c>
      <c r="P132" s="61" t="s">
        <v>3351</v>
      </c>
      <c r="Q132" s="61" t="s">
        <v>3352</v>
      </c>
      <c r="R132" s="61" t="s">
        <v>3353</v>
      </c>
      <c r="S132" s="61" t="s">
        <v>3354</v>
      </c>
      <c r="T132" s="61" t="s">
        <v>3355</v>
      </c>
      <c r="U132" s="61" t="s">
        <v>3356</v>
      </c>
      <c r="V132" s="62" t="s">
        <v>3357</v>
      </c>
      <c r="W132" s="61" t="s">
        <v>3358</v>
      </c>
      <c r="X132" s="61" t="s">
        <v>3359</v>
      </c>
      <c r="Y132" s="61" t="s">
        <v>3360</v>
      </c>
      <c r="Z132" s="61" t="s">
        <v>3361</v>
      </c>
      <c r="AA132" s="61" t="s">
        <v>3362</v>
      </c>
      <c r="AB132" s="63" t="s">
        <v>3363</v>
      </c>
    </row>
    <row r="133" spans="1:28" x14ac:dyDescent="0.25">
      <c r="A133" s="9" t="s">
        <v>107</v>
      </c>
      <c r="B133" s="9" t="str">
        <f t="shared" si="13"/>
        <v>Bitte mindestens einen Schlüsselbegriff eingeben.</v>
      </c>
      <c r="D133" s="60" t="s">
        <v>2657</v>
      </c>
      <c r="E133" s="61" t="s">
        <v>2658</v>
      </c>
      <c r="F133" s="62" t="s">
        <v>2659</v>
      </c>
      <c r="G133" s="62" t="s">
        <v>2660</v>
      </c>
      <c r="H133" s="61" t="s">
        <v>2661</v>
      </c>
      <c r="I133" s="38" t="s">
        <v>354</v>
      </c>
      <c r="J133" s="61" t="s">
        <v>3364</v>
      </c>
      <c r="K133" s="61" t="s">
        <v>3365</v>
      </c>
      <c r="L133" s="61" t="s">
        <v>3366</v>
      </c>
      <c r="M133" s="61" t="s">
        <v>3367</v>
      </c>
      <c r="N133" s="61"/>
      <c r="O133" s="61" t="s">
        <v>3368</v>
      </c>
      <c r="P133" s="61" t="s">
        <v>3369</v>
      </c>
      <c r="Q133" s="61" t="s">
        <v>3370</v>
      </c>
      <c r="R133" s="61" t="s">
        <v>3371</v>
      </c>
      <c r="S133" s="61" t="s">
        <v>3372</v>
      </c>
      <c r="T133" s="61" t="s">
        <v>3373</v>
      </c>
      <c r="U133" s="61" t="s">
        <v>3374</v>
      </c>
      <c r="V133" s="62" t="s">
        <v>3375</v>
      </c>
      <c r="W133" s="61" t="s">
        <v>3376</v>
      </c>
      <c r="X133" s="61" t="s">
        <v>3377</v>
      </c>
      <c r="Y133" s="61" t="s">
        <v>3378</v>
      </c>
      <c r="Z133" s="61" t="s">
        <v>3379</v>
      </c>
      <c r="AA133" s="61" t="s">
        <v>3380</v>
      </c>
      <c r="AB133" s="63" t="s">
        <v>3381</v>
      </c>
    </row>
    <row r="134" spans="1:28" x14ac:dyDescent="0.25">
      <c r="A134" s="9" t="s">
        <v>109</v>
      </c>
      <c r="B134" s="9" t="str">
        <f t="shared" si="13"/>
        <v>Ziele und zu erwartender Nutzen des Projekts</v>
      </c>
      <c r="D134" s="60" t="s">
        <v>2662</v>
      </c>
      <c r="E134" s="61" t="s">
        <v>2663</v>
      </c>
      <c r="F134" s="62" t="s">
        <v>2664</v>
      </c>
      <c r="G134" s="62" t="s">
        <v>2665</v>
      </c>
      <c r="H134" s="61" t="s">
        <v>2666</v>
      </c>
      <c r="I134" s="51" t="s">
        <v>103</v>
      </c>
      <c r="J134" s="61" t="s">
        <v>3382</v>
      </c>
      <c r="K134" s="61" t="s">
        <v>3383</v>
      </c>
      <c r="L134" s="61" t="s">
        <v>3384</v>
      </c>
      <c r="M134" s="61" t="s">
        <v>3385</v>
      </c>
      <c r="N134" s="61"/>
      <c r="O134" s="61" t="s">
        <v>3386</v>
      </c>
      <c r="P134" s="61" t="s">
        <v>3387</v>
      </c>
      <c r="Q134" s="61" t="s">
        <v>3388</v>
      </c>
      <c r="R134" s="61" t="s">
        <v>3389</v>
      </c>
      <c r="S134" s="61" t="s">
        <v>3390</v>
      </c>
      <c r="T134" s="61" t="s">
        <v>3391</v>
      </c>
      <c r="U134" s="61" t="s">
        <v>3392</v>
      </c>
      <c r="V134" s="62" t="s">
        <v>3393</v>
      </c>
      <c r="W134" s="61" t="s">
        <v>3394</v>
      </c>
      <c r="X134" s="61" t="s">
        <v>3395</v>
      </c>
      <c r="Y134" s="61" t="s">
        <v>3396</v>
      </c>
      <c r="Z134" s="61" t="s">
        <v>3397</v>
      </c>
      <c r="AA134" s="61" t="s">
        <v>3398</v>
      </c>
      <c r="AB134" s="63" t="s">
        <v>3399</v>
      </c>
    </row>
    <row r="135" spans="1:28" x14ac:dyDescent="0.25">
      <c r="A135" s="9" t="s">
        <v>110</v>
      </c>
      <c r="B135" s="9" t="str">
        <f t="shared" si="13"/>
        <v>Projektziele                                                                                                                                                               (max. 2500 Zeichen)</v>
      </c>
      <c r="D135" s="60" t="s">
        <v>2667</v>
      </c>
      <c r="E135" s="61" t="s">
        <v>2668</v>
      </c>
      <c r="F135" s="62" t="s">
        <v>2669</v>
      </c>
      <c r="G135" s="62" t="s">
        <v>4955</v>
      </c>
      <c r="H135" s="61" t="s">
        <v>2670</v>
      </c>
      <c r="I135" s="50" t="s">
        <v>104</v>
      </c>
      <c r="J135" s="61" t="s">
        <v>3400</v>
      </c>
      <c r="K135" s="61" t="s">
        <v>3401</v>
      </c>
      <c r="L135" s="61" t="s">
        <v>3402</v>
      </c>
      <c r="M135" s="61" t="s">
        <v>3403</v>
      </c>
      <c r="N135" s="61"/>
      <c r="O135" s="61" t="s">
        <v>3404</v>
      </c>
      <c r="P135" s="61" t="s">
        <v>3405</v>
      </c>
      <c r="Q135" s="61" t="s">
        <v>3406</v>
      </c>
      <c r="R135" s="61" t="s">
        <v>3407</v>
      </c>
      <c r="S135" s="61" t="s">
        <v>3408</v>
      </c>
      <c r="T135" s="61" t="s">
        <v>3409</v>
      </c>
      <c r="U135" s="61" t="s">
        <v>3410</v>
      </c>
      <c r="V135" s="62" t="s">
        <v>3411</v>
      </c>
      <c r="W135" s="61" t="s">
        <v>3412</v>
      </c>
      <c r="X135" s="61" t="s">
        <v>3413</v>
      </c>
      <c r="Y135" s="61" t="s">
        <v>3414</v>
      </c>
      <c r="Z135" s="61" t="s">
        <v>3415</v>
      </c>
      <c r="AA135" s="61" t="s">
        <v>3416</v>
      </c>
      <c r="AB135" s="63" t="s">
        <v>3417</v>
      </c>
    </row>
    <row r="136" spans="1:28" x14ac:dyDescent="0.25">
      <c r="A136" s="9" t="s">
        <v>112</v>
      </c>
      <c r="B136" s="9" t="str">
        <f t="shared" si="13"/>
        <v>Potenzieller Nutzen, der sich aus diesem Projekt ergeben dürfte                                                    (max. 2500 Zeichen)</v>
      </c>
      <c r="D136" s="60" t="s">
        <v>2671</v>
      </c>
      <c r="E136" s="61" t="s">
        <v>2672</v>
      </c>
      <c r="F136" s="62" t="s">
        <v>2673</v>
      </c>
      <c r="G136" s="62" t="s">
        <v>4954</v>
      </c>
      <c r="H136" s="61" t="s">
        <v>2674</v>
      </c>
      <c r="I136" s="50" t="s">
        <v>111</v>
      </c>
      <c r="J136" s="61" t="s">
        <v>3418</v>
      </c>
      <c r="K136" s="61" t="s">
        <v>3419</v>
      </c>
      <c r="L136" s="61" t="s">
        <v>3420</v>
      </c>
      <c r="M136" s="61" t="s">
        <v>3421</v>
      </c>
      <c r="N136" s="61"/>
      <c r="O136" s="61" t="s">
        <v>3422</v>
      </c>
      <c r="P136" s="61" t="s">
        <v>3423</v>
      </c>
      <c r="Q136" s="61" t="s">
        <v>3424</v>
      </c>
      <c r="R136" s="61" t="s">
        <v>3425</v>
      </c>
      <c r="S136" s="61" t="s">
        <v>3426</v>
      </c>
      <c r="T136" s="61" t="s">
        <v>3427</v>
      </c>
      <c r="U136" s="61" t="s">
        <v>3428</v>
      </c>
      <c r="V136" s="62" t="s">
        <v>3429</v>
      </c>
      <c r="W136" s="61" t="s">
        <v>3430</v>
      </c>
      <c r="X136" s="61" t="s">
        <v>3431</v>
      </c>
      <c r="Y136" s="61" t="s">
        <v>3432</v>
      </c>
      <c r="Z136" s="61" t="s">
        <v>3433</v>
      </c>
      <c r="AA136" s="61" t="s">
        <v>3434</v>
      </c>
      <c r="AB136" s="63" t="s">
        <v>3435</v>
      </c>
    </row>
    <row r="137" spans="1:28" x14ac:dyDescent="0.25">
      <c r="A137" s="9" t="s">
        <v>114</v>
      </c>
      <c r="B137" s="9" t="str">
        <f t="shared" si="13"/>
        <v>Zu erwartender Schaden</v>
      </c>
      <c r="D137" s="60" t="s">
        <v>2675</v>
      </c>
      <c r="E137" s="61" t="s">
        <v>2676</v>
      </c>
      <c r="F137" s="62" t="s">
        <v>2677</v>
      </c>
      <c r="G137" s="62" t="s">
        <v>2678</v>
      </c>
      <c r="H137" s="61" t="s">
        <v>2679</v>
      </c>
      <c r="I137" s="50" t="s">
        <v>113</v>
      </c>
      <c r="J137" s="61" t="s">
        <v>3436</v>
      </c>
      <c r="K137" s="61" t="s">
        <v>3437</v>
      </c>
      <c r="L137" s="61" t="s">
        <v>3438</v>
      </c>
      <c r="M137" s="61" t="s">
        <v>3439</v>
      </c>
      <c r="N137" s="61"/>
      <c r="O137" s="61" t="s">
        <v>3440</v>
      </c>
      <c r="P137" s="61" t="s">
        <v>3441</v>
      </c>
      <c r="Q137" s="61" t="s">
        <v>3442</v>
      </c>
      <c r="R137" s="61" t="s">
        <v>3443</v>
      </c>
      <c r="S137" s="61" t="s">
        <v>3444</v>
      </c>
      <c r="T137" s="61" t="s">
        <v>3445</v>
      </c>
      <c r="U137" s="61" t="s">
        <v>3446</v>
      </c>
      <c r="V137" s="62" t="s">
        <v>3447</v>
      </c>
      <c r="W137" s="61" t="s">
        <v>3448</v>
      </c>
      <c r="X137" s="61" t="s">
        <v>3449</v>
      </c>
      <c r="Y137" s="61" t="s">
        <v>3450</v>
      </c>
      <c r="Z137" s="61" t="s">
        <v>3451</v>
      </c>
      <c r="AA137" s="61" t="s">
        <v>3452</v>
      </c>
      <c r="AB137" s="63" t="s">
        <v>3453</v>
      </c>
    </row>
    <row r="138" spans="1:28" x14ac:dyDescent="0.25">
      <c r="A138" s="9" t="s">
        <v>116</v>
      </c>
      <c r="B138" s="9" t="str">
        <f t="shared" si="13"/>
        <v>Tierversuche, bei denen die Tiere in diesem Projekt verwendet werden                                      (max. 2500 Zeichen)</v>
      </c>
      <c r="D138" s="60" t="s">
        <v>2680</v>
      </c>
      <c r="E138" s="61" t="s">
        <v>2681</v>
      </c>
      <c r="F138" s="62" t="s">
        <v>2682</v>
      </c>
      <c r="G138" s="62" t="s">
        <v>4953</v>
      </c>
      <c r="H138" s="61" t="s">
        <v>2683</v>
      </c>
      <c r="I138" s="52" t="s">
        <v>115</v>
      </c>
      <c r="J138" s="61" t="s">
        <v>3454</v>
      </c>
      <c r="K138" s="61" t="s">
        <v>3455</v>
      </c>
      <c r="L138" s="61" t="s">
        <v>3456</v>
      </c>
      <c r="M138" s="61" t="s">
        <v>3457</v>
      </c>
      <c r="N138" s="61"/>
      <c r="O138" s="61" t="s">
        <v>3458</v>
      </c>
      <c r="P138" s="61" t="s">
        <v>3459</v>
      </c>
      <c r="Q138" s="61" t="s">
        <v>3460</v>
      </c>
      <c r="R138" s="61" t="s">
        <v>3461</v>
      </c>
      <c r="S138" s="61" t="s">
        <v>3462</v>
      </c>
      <c r="T138" s="61" t="s">
        <v>3463</v>
      </c>
      <c r="U138" s="61" t="s">
        <v>3464</v>
      </c>
      <c r="V138" s="62" t="s">
        <v>3465</v>
      </c>
      <c r="W138" s="61" t="s">
        <v>3466</v>
      </c>
      <c r="X138" s="61" t="s">
        <v>3467</v>
      </c>
      <c r="Y138" s="61" t="s">
        <v>3468</v>
      </c>
      <c r="Z138" s="61" t="s">
        <v>3469</v>
      </c>
      <c r="AA138" s="61" t="s">
        <v>3470</v>
      </c>
      <c r="AB138" s="63" t="s">
        <v>3471</v>
      </c>
    </row>
    <row r="139" spans="1:28" x14ac:dyDescent="0.25">
      <c r="A139" s="9" t="s">
        <v>118</v>
      </c>
      <c r="B139" s="9" t="str">
        <f t="shared" si="13"/>
        <v>Für die Tiere zu erwartende Auswirkungen/Schäden                                                                              (max. 2500 Zeichen)</v>
      </c>
      <c r="D139" s="60" t="s">
        <v>2684</v>
      </c>
      <c r="E139" s="61" t="s">
        <v>2685</v>
      </c>
      <c r="F139" s="62" t="s">
        <v>2686</v>
      </c>
      <c r="G139" s="62" t="s">
        <v>4943</v>
      </c>
      <c r="H139" s="61" t="s">
        <v>2687</v>
      </c>
      <c r="I139" s="50" t="s">
        <v>117</v>
      </c>
      <c r="J139" s="61" t="s">
        <v>3472</v>
      </c>
      <c r="K139" s="61" t="s">
        <v>3473</v>
      </c>
      <c r="L139" s="61" t="s">
        <v>3474</v>
      </c>
      <c r="M139" s="61" t="s">
        <v>3475</v>
      </c>
      <c r="N139" s="61"/>
      <c r="O139" s="61" t="s">
        <v>3476</v>
      </c>
      <c r="P139" s="61" t="s">
        <v>3477</v>
      </c>
      <c r="Q139" s="61" t="s">
        <v>3478</v>
      </c>
      <c r="R139" s="61" t="s">
        <v>3479</v>
      </c>
      <c r="S139" s="61" t="s">
        <v>3480</v>
      </c>
      <c r="T139" s="61" t="s">
        <v>3481</v>
      </c>
      <c r="U139" s="61" t="s">
        <v>3482</v>
      </c>
      <c r="V139" s="62" t="s">
        <v>3483</v>
      </c>
      <c r="W139" s="61" t="s">
        <v>3484</v>
      </c>
      <c r="X139" s="61" t="s">
        <v>3485</v>
      </c>
      <c r="Y139" s="61" t="s">
        <v>3486</v>
      </c>
      <c r="Z139" s="61" t="s">
        <v>3487</v>
      </c>
      <c r="AA139" s="61" t="s">
        <v>3488</v>
      </c>
      <c r="AB139" s="63" t="s">
        <v>3489</v>
      </c>
    </row>
    <row r="140" spans="1:28" x14ac:dyDescent="0.25">
      <c r="A140" s="9" t="s">
        <v>347</v>
      </c>
      <c r="B140" s="9" t="str">
        <f t="shared" si="13"/>
        <v>Erwartete Schäden</v>
      </c>
      <c r="D140" s="60" t="s">
        <v>2688</v>
      </c>
      <c r="E140" s="61" t="s">
        <v>2689</v>
      </c>
      <c r="F140" s="62" t="s">
        <v>2677</v>
      </c>
      <c r="G140" s="62" t="s">
        <v>2690</v>
      </c>
      <c r="H140" s="61" t="s">
        <v>2679</v>
      </c>
      <c r="I140" s="50" t="s">
        <v>348</v>
      </c>
      <c r="J140" s="61" t="s">
        <v>3436</v>
      </c>
      <c r="K140" s="61" t="s">
        <v>3437</v>
      </c>
      <c r="L140" s="61" t="s">
        <v>3490</v>
      </c>
      <c r="M140" s="61" t="s">
        <v>3491</v>
      </c>
      <c r="N140" s="61"/>
      <c r="O140" s="61" t="s">
        <v>3492</v>
      </c>
      <c r="P140" s="61" t="s">
        <v>3441</v>
      </c>
      <c r="Q140" s="61" t="s">
        <v>3493</v>
      </c>
      <c r="R140" s="61" t="s">
        <v>3494</v>
      </c>
      <c r="S140" s="61" t="s">
        <v>3495</v>
      </c>
      <c r="T140" s="61" t="s">
        <v>3496</v>
      </c>
      <c r="U140" s="61" t="s">
        <v>3497</v>
      </c>
      <c r="V140" s="62" t="s">
        <v>3498</v>
      </c>
      <c r="W140" s="61" t="s">
        <v>3499</v>
      </c>
      <c r="X140" s="61" t="s">
        <v>3500</v>
      </c>
      <c r="Y140" s="61" t="s">
        <v>3501</v>
      </c>
      <c r="Z140" s="61" t="s">
        <v>3502</v>
      </c>
      <c r="AA140" s="61" t="s">
        <v>3503</v>
      </c>
      <c r="AB140" s="63" t="s">
        <v>3504</v>
      </c>
    </row>
    <row r="141" spans="1:28" x14ac:dyDescent="0.25">
      <c r="A141" s="9" t="s">
        <v>119</v>
      </c>
      <c r="B141" s="9" t="str">
        <f t="shared" si="13"/>
        <v>Verbleib der am Leben gebliebenen Tiere</v>
      </c>
      <c r="D141" s="60" t="s">
        <v>2691</v>
      </c>
      <c r="E141" s="61" t="s">
        <v>2692</v>
      </c>
      <c r="F141" s="62" t="s">
        <v>2693</v>
      </c>
      <c r="G141" s="62" t="s">
        <v>2694</v>
      </c>
      <c r="H141" s="61" t="s">
        <v>2695</v>
      </c>
      <c r="I141" s="50" t="s">
        <v>120</v>
      </c>
      <c r="J141" s="61" t="s">
        <v>3505</v>
      </c>
      <c r="K141" s="61" t="s">
        <v>3506</v>
      </c>
      <c r="L141" s="61" t="s">
        <v>3507</v>
      </c>
      <c r="M141" s="61" t="s">
        <v>3508</v>
      </c>
      <c r="N141" s="61"/>
      <c r="O141" s="61" t="s">
        <v>3509</v>
      </c>
      <c r="P141" s="61" t="s">
        <v>3510</v>
      </c>
      <c r="Q141" s="61" t="s">
        <v>3511</v>
      </c>
      <c r="R141" s="61" t="s">
        <v>3512</v>
      </c>
      <c r="S141" s="61" t="s">
        <v>3513</v>
      </c>
      <c r="T141" s="61" t="s">
        <v>3514</v>
      </c>
      <c r="U141" s="61" t="s">
        <v>3515</v>
      </c>
      <c r="V141" s="62" t="s">
        <v>3516</v>
      </c>
      <c r="W141" s="61" t="s">
        <v>3517</v>
      </c>
      <c r="X141" s="61" t="s">
        <v>3518</v>
      </c>
      <c r="Y141" s="61" t="s">
        <v>3519</v>
      </c>
      <c r="Z141" s="61" t="s">
        <v>3520</v>
      </c>
      <c r="AA141" s="61" t="s">
        <v>3521</v>
      </c>
      <c r="AB141" s="63" t="s">
        <v>3522</v>
      </c>
    </row>
    <row r="142" spans="1:28" x14ac:dyDescent="0.25">
      <c r="A142" s="9" t="s">
        <v>122</v>
      </c>
      <c r="B142" s="9" t="str">
        <f t="shared" ref="B142:B225" si="14">IF(TRIM(HLOOKUP(language_or_default,textTranslations,MATCH(A142,text,0),FALSE))="",HLOOKUP("en",textTranslations,MATCH(A142,text,0),FALSE),HLOOKUP(language_or_default,textTranslations,MATCH(A142,text,0),FALSE))</f>
        <v>Verbleib ALLER Tiere nach Abschluss des Tierversuchs / des Projekts                                              (max. 2500 Zeichen)</v>
      </c>
      <c r="D142" s="60" t="s">
        <v>2696</v>
      </c>
      <c r="E142" s="61" t="s">
        <v>2697</v>
      </c>
      <c r="F142" s="62" t="s">
        <v>2698</v>
      </c>
      <c r="G142" s="62" t="s">
        <v>4956</v>
      </c>
      <c r="H142" s="61" t="s">
        <v>2699</v>
      </c>
      <c r="I142" s="52" t="s">
        <v>121</v>
      </c>
      <c r="J142" s="61" t="s">
        <v>3523</v>
      </c>
      <c r="K142" s="61" t="s">
        <v>3524</v>
      </c>
      <c r="L142" s="61" t="s">
        <v>3525</v>
      </c>
      <c r="M142" s="61" t="s">
        <v>3526</v>
      </c>
      <c r="N142" s="61"/>
      <c r="O142" s="61" t="s">
        <v>3527</v>
      </c>
      <c r="P142" s="61" t="s">
        <v>3528</v>
      </c>
      <c r="Q142" s="61" t="s">
        <v>3529</v>
      </c>
      <c r="R142" s="61" t="s">
        <v>3530</v>
      </c>
      <c r="S142" s="61" t="s">
        <v>3531</v>
      </c>
      <c r="T142" s="61" t="s">
        <v>3532</v>
      </c>
      <c r="U142" s="61" t="s">
        <v>3533</v>
      </c>
      <c r="V142" s="62" t="s">
        <v>3534</v>
      </c>
      <c r="W142" s="61" t="s">
        <v>3535</v>
      </c>
      <c r="X142" s="61" t="s">
        <v>3536</v>
      </c>
      <c r="Y142" s="61" t="s">
        <v>3537</v>
      </c>
      <c r="Z142" s="61" t="s">
        <v>3538</v>
      </c>
      <c r="AA142" s="61" t="s">
        <v>3539</v>
      </c>
      <c r="AB142" s="63" t="s">
        <v>3540</v>
      </c>
    </row>
    <row r="143" spans="1:28" x14ac:dyDescent="0.25">
      <c r="A143" s="9" t="s">
        <v>124</v>
      </c>
      <c r="B143" s="9" t="str">
        <f t="shared" si="14"/>
        <v>Anwendung des Grundsatzes der Vermeidung, Verminderung und Verbesserung (3R-Prinzip)</v>
      </c>
      <c r="D143" s="60" t="s">
        <v>2700</v>
      </c>
      <c r="E143" s="61" t="s">
        <v>2701</v>
      </c>
      <c r="F143" s="62" t="s">
        <v>2702</v>
      </c>
      <c r="G143" s="62" t="s">
        <v>2703</v>
      </c>
      <c r="H143" s="61" t="s">
        <v>2704</v>
      </c>
      <c r="I143" s="50" t="s">
        <v>123</v>
      </c>
      <c r="J143" s="61" t="s">
        <v>3541</v>
      </c>
      <c r="K143" s="61" t="s">
        <v>3542</v>
      </c>
      <c r="L143" s="61" t="s">
        <v>3543</v>
      </c>
      <c r="M143" s="61" t="s">
        <v>3544</v>
      </c>
      <c r="N143" s="61"/>
      <c r="O143" s="61" t="s">
        <v>3545</v>
      </c>
      <c r="P143" s="61" t="s">
        <v>3546</v>
      </c>
      <c r="Q143" s="61" t="s">
        <v>3547</v>
      </c>
      <c r="R143" s="61" t="s">
        <v>3548</v>
      </c>
      <c r="S143" s="61" t="s">
        <v>3549</v>
      </c>
      <c r="T143" s="61" t="s">
        <v>3550</v>
      </c>
      <c r="U143" s="61" t="s">
        <v>3551</v>
      </c>
      <c r="V143" s="62" t="s">
        <v>3552</v>
      </c>
      <c r="W143" s="61" t="s">
        <v>3553</v>
      </c>
      <c r="X143" s="61" t="s">
        <v>3554</v>
      </c>
      <c r="Y143" s="61" t="s">
        <v>3555</v>
      </c>
      <c r="Z143" s="61" t="s">
        <v>3556</v>
      </c>
      <c r="AA143" s="61" t="s">
        <v>3557</v>
      </c>
      <c r="AB143" s="63" t="s">
        <v>3558</v>
      </c>
    </row>
    <row r="144" spans="1:28" x14ac:dyDescent="0.25">
      <c r="A144" s="9" t="s">
        <v>126</v>
      </c>
      <c r="B144" s="9" t="str">
        <f t="shared" si="14"/>
        <v>1. Vermeidung                                                                                                                                                            (max. 2500 Zeichen)</v>
      </c>
      <c r="D144" s="60" t="s">
        <v>2705</v>
      </c>
      <c r="E144" s="61" t="s">
        <v>2706</v>
      </c>
      <c r="F144" s="62" t="s">
        <v>2707</v>
      </c>
      <c r="G144" s="62" t="s">
        <v>4957</v>
      </c>
      <c r="H144" s="61" t="s">
        <v>2708</v>
      </c>
      <c r="I144" s="50" t="s">
        <v>125</v>
      </c>
      <c r="J144" s="61" t="s">
        <v>3559</v>
      </c>
      <c r="K144" s="61" t="s">
        <v>3560</v>
      </c>
      <c r="L144" s="61" t="s">
        <v>3561</v>
      </c>
      <c r="M144" s="61" t="s">
        <v>3562</v>
      </c>
      <c r="N144" s="61"/>
      <c r="O144" s="61" t="s">
        <v>3563</v>
      </c>
      <c r="P144" s="61" t="s">
        <v>3564</v>
      </c>
      <c r="Q144" s="61" t="s">
        <v>3565</v>
      </c>
      <c r="R144" s="61" t="s">
        <v>3566</v>
      </c>
      <c r="S144" s="61" t="s">
        <v>3567</v>
      </c>
      <c r="T144" s="61" t="s">
        <v>3568</v>
      </c>
      <c r="U144" s="61" t="s">
        <v>3569</v>
      </c>
      <c r="V144" s="62" t="s">
        <v>3570</v>
      </c>
      <c r="W144" s="61" t="s">
        <v>3571</v>
      </c>
      <c r="X144" s="61" t="s">
        <v>3572</v>
      </c>
      <c r="Y144" s="61" t="s">
        <v>3573</v>
      </c>
      <c r="Z144" s="61" t="s">
        <v>3574</v>
      </c>
      <c r="AA144" s="61" t="s">
        <v>3575</v>
      </c>
      <c r="AB144" s="63" t="s">
        <v>3576</v>
      </c>
    </row>
    <row r="145" spans="1:28" x14ac:dyDescent="0.25">
      <c r="A145" s="9" t="s">
        <v>128</v>
      </c>
      <c r="B145" s="9" t="str">
        <f t="shared" si="14"/>
        <v>2. Verminderung                                                                                                                                                        (max. 2500 Zeichen)</v>
      </c>
      <c r="D145" s="60" t="s">
        <v>2709</v>
      </c>
      <c r="E145" s="61" t="s">
        <v>2710</v>
      </c>
      <c r="F145" s="62" t="s">
        <v>2711</v>
      </c>
      <c r="G145" s="62" t="s">
        <v>4959</v>
      </c>
      <c r="H145" s="61" t="s">
        <v>2712</v>
      </c>
      <c r="I145" s="50" t="s">
        <v>127</v>
      </c>
      <c r="J145" s="61" t="s">
        <v>3577</v>
      </c>
      <c r="K145" s="61" t="s">
        <v>3578</v>
      </c>
      <c r="L145" s="61" t="s">
        <v>3579</v>
      </c>
      <c r="M145" s="61" t="s">
        <v>3580</v>
      </c>
      <c r="N145" s="61"/>
      <c r="O145" s="61" t="s">
        <v>3581</v>
      </c>
      <c r="P145" s="61" t="s">
        <v>3582</v>
      </c>
      <c r="Q145" s="61" t="s">
        <v>3583</v>
      </c>
      <c r="R145" s="61" t="s">
        <v>3584</v>
      </c>
      <c r="S145" s="61" t="s">
        <v>3585</v>
      </c>
      <c r="T145" s="61" t="s">
        <v>3586</v>
      </c>
      <c r="U145" s="61" t="s">
        <v>3587</v>
      </c>
      <c r="V145" s="62" t="s">
        <v>3588</v>
      </c>
      <c r="W145" s="61" t="s">
        <v>3589</v>
      </c>
      <c r="X145" s="61" t="s">
        <v>3590</v>
      </c>
      <c r="Y145" s="61" t="s">
        <v>3591</v>
      </c>
      <c r="Z145" s="61" t="s">
        <v>3592</v>
      </c>
      <c r="AA145" s="61" t="s">
        <v>3593</v>
      </c>
      <c r="AB145" s="63" t="s">
        <v>3594</v>
      </c>
    </row>
    <row r="146" spans="1:28" x14ac:dyDescent="0.25">
      <c r="A146" s="9" t="s">
        <v>130</v>
      </c>
      <c r="B146" s="9" t="str">
        <f t="shared" si="14"/>
        <v>3. Verbesserung                                                                                                                                                          (max. 2500 Zeichen)</v>
      </c>
      <c r="D146" s="60" t="s">
        <v>2713</v>
      </c>
      <c r="E146" s="61" t="s">
        <v>2714</v>
      </c>
      <c r="F146" s="62" t="s">
        <v>2715</v>
      </c>
      <c r="G146" s="62" t="s">
        <v>4958</v>
      </c>
      <c r="H146" s="61" t="s">
        <v>2716</v>
      </c>
      <c r="I146" s="50" t="s">
        <v>129</v>
      </c>
      <c r="J146" s="61" t="s">
        <v>3595</v>
      </c>
      <c r="K146" s="61" t="s">
        <v>3596</v>
      </c>
      <c r="L146" s="61" t="s">
        <v>3597</v>
      </c>
      <c r="M146" s="61" t="s">
        <v>3598</v>
      </c>
      <c r="N146" s="61"/>
      <c r="O146" s="61" t="s">
        <v>3599</v>
      </c>
      <c r="P146" s="61" t="s">
        <v>3600</v>
      </c>
      <c r="Q146" s="61" t="s">
        <v>3601</v>
      </c>
      <c r="R146" s="61" t="s">
        <v>3602</v>
      </c>
      <c r="S146" s="61" t="s">
        <v>3603</v>
      </c>
      <c r="T146" s="61" t="s">
        <v>3604</v>
      </c>
      <c r="U146" s="61" t="s">
        <v>3605</v>
      </c>
      <c r="V146" s="62" t="s">
        <v>3606</v>
      </c>
      <c r="W146" s="61" t="s">
        <v>3607</v>
      </c>
      <c r="X146" s="61" t="s">
        <v>3608</v>
      </c>
      <c r="Y146" s="61" t="s">
        <v>3609</v>
      </c>
      <c r="Z146" s="61" t="s">
        <v>3610</v>
      </c>
      <c r="AA146" s="61" t="s">
        <v>3611</v>
      </c>
      <c r="AB146" s="63" t="s">
        <v>3612</v>
      </c>
    </row>
    <row r="147" spans="1:28" x14ac:dyDescent="0.25">
      <c r="A147" s="9" t="s">
        <v>132</v>
      </c>
      <c r="B147" s="9" t="str">
        <f t="shared" si="14"/>
        <v>Bitte erläutern Sie die Wahl der Arten und entsprechenden Lebensabschnitte.                              (max. 2500 Zeichen)</v>
      </c>
      <c r="D147" s="72" t="s">
        <v>2717</v>
      </c>
      <c r="E147" s="73" t="s">
        <v>2718</v>
      </c>
      <c r="F147" s="74" t="s">
        <v>2719</v>
      </c>
      <c r="G147" s="74" t="s">
        <v>4944</v>
      </c>
      <c r="H147" s="73" t="s">
        <v>2720</v>
      </c>
      <c r="I147" s="52" t="s">
        <v>131</v>
      </c>
      <c r="J147" s="73" t="s">
        <v>3613</v>
      </c>
      <c r="K147" s="73" t="s">
        <v>3614</v>
      </c>
      <c r="L147" s="73" t="s">
        <v>3615</v>
      </c>
      <c r="M147" s="73" t="s">
        <v>3616</v>
      </c>
      <c r="N147" s="61"/>
      <c r="O147" s="73" t="s">
        <v>3617</v>
      </c>
      <c r="P147" s="73" t="s">
        <v>3618</v>
      </c>
      <c r="Q147" s="73" t="s">
        <v>3619</v>
      </c>
      <c r="R147" s="73" t="s">
        <v>3620</v>
      </c>
      <c r="S147" s="73" t="s">
        <v>3621</v>
      </c>
      <c r="T147" s="73" t="s">
        <v>3622</v>
      </c>
      <c r="U147" s="73" t="s">
        <v>3623</v>
      </c>
      <c r="V147" s="74" t="s">
        <v>3624</v>
      </c>
      <c r="W147" s="73" t="s">
        <v>3625</v>
      </c>
      <c r="X147" s="73" t="s">
        <v>3626</v>
      </c>
      <c r="Y147" s="73" t="s">
        <v>3627</v>
      </c>
      <c r="Z147" s="73" t="s">
        <v>3628</v>
      </c>
      <c r="AA147" s="73" t="s">
        <v>3629</v>
      </c>
      <c r="AB147" s="63" t="s">
        <v>3630</v>
      </c>
    </row>
    <row r="148" spans="1:28" x14ac:dyDescent="0.25">
      <c r="A148" s="9" t="s">
        <v>134</v>
      </c>
      <c r="B148" s="9" t="str">
        <f t="shared" si="14"/>
        <v>Für die rückblickende Bewertung vorgeschriebenes Projekt (wird von der Behörde ausgefüllt)</v>
      </c>
      <c r="D148" s="60" t="s">
        <v>2721</v>
      </c>
      <c r="E148" s="61" t="s">
        <v>2722</v>
      </c>
      <c r="F148" s="62" t="s">
        <v>2723</v>
      </c>
      <c r="G148" s="62" t="s">
        <v>4940</v>
      </c>
      <c r="H148" s="61" t="s">
        <v>2724</v>
      </c>
      <c r="I148" s="50" t="s">
        <v>133</v>
      </c>
      <c r="J148" s="61" t="s">
        <v>3631</v>
      </c>
      <c r="K148" s="61" t="s">
        <v>3632</v>
      </c>
      <c r="L148" s="61" t="s">
        <v>3633</v>
      </c>
      <c r="M148" s="61" t="s">
        <v>3634</v>
      </c>
      <c r="N148" s="61"/>
      <c r="O148" s="61" t="s">
        <v>3635</v>
      </c>
      <c r="P148" s="61" t="s">
        <v>3636</v>
      </c>
      <c r="Q148" s="61" t="s">
        <v>3637</v>
      </c>
      <c r="R148" s="61" t="s">
        <v>3638</v>
      </c>
      <c r="S148" s="61" t="s">
        <v>3639</v>
      </c>
      <c r="T148" s="61" t="s">
        <v>3640</v>
      </c>
      <c r="U148" s="61" t="s">
        <v>3641</v>
      </c>
      <c r="V148" s="62" t="s">
        <v>3642</v>
      </c>
      <c r="W148" s="61" t="s">
        <v>3643</v>
      </c>
      <c r="X148" s="61" t="s">
        <v>3644</v>
      </c>
      <c r="Y148" s="61" t="s">
        <v>3645</v>
      </c>
      <c r="Z148" s="61" t="s">
        <v>3646</v>
      </c>
      <c r="AA148" s="61" t="s">
        <v>3647</v>
      </c>
      <c r="AB148" s="63" t="s">
        <v>3648</v>
      </c>
    </row>
    <row r="149" spans="1:28" x14ac:dyDescent="0.25">
      <c r="A149" s="9" t="s">
        <v>135</v>
      </c>
      <c r="B149" s="9" t="str">
        <f t="shared" si="14"/>
        <v>Projekt für RB vorgeschrieben?</v>
      </c>
      <c r="D149" s="60" t="s">
        <v>2725</v>
      </c>
      <c r="E149" s="61" t="s">
        <v>2726</v>
      </c>
      <c r="F149" s="62" t="s">
        <v>2727</v>
      </c>
      <c r="G149" s="62" t="s">
        <v>2728</v>
      </c>
      <c r="H149" s="61" t="s">
        <v>2729</v>
      </c>
      <c r="I149" s="50" t="s">
        <v>136</v>
      </c>
      <c r="J149" s="61" t="s">
        <v>3649</v>
      </c>
      <c r="K149" s="61" t="s">
        <v>3650</v>
      </c>
      <c r="L149" s="61" t="s">
        <v>3651</v>
      </c>
      <c r="M149" s="61" t="s">
        <v>3652</v>
      </c>
      <c r="N149" s="61"/>
      <c r="O149" s="61" t="s">
        <v>3653</v>
      </c>
      <c r="P149" s="61" t="s">
        <v>3654</v>
      </c>
      <c r="Q149" s="61" t="s">
        <v>3655</v>
      </c>
      <c r="R149" s="61" t="s">
        <v>3656</v>
      </c>
      <c r="S149" s="61" t="s">
        <v>3657</v>
      </c>
      <c r="T149" s="61" t="s">
        <v>3658</v>
      </c>
      <c r="U149" s="61" t="s">
        <v>3659</v>
      </c>
      <c r="V149" s="62" t="s">
        <v>3660</v>
      </c>
      <c r="W149" s="61" t="s">
        <v>3661</v>
      </c>
      <c r="X149" s="61" t="s">
        <v>3662</v>
      </c>
      <c r="Y149" s="61" t="s">
        <v>3663</v>
      </c>
      <c r="Z149" s="61" t="s">
        <v>3664</v>
      </c>
      <c r="AA149" s="61" t="s">
        <v>3665</v>
      </c>
      <c r="AB149" s="63" t="s">
        <v>3666</v>
      </c>
    </row>
    <row r="150" spans="1:28" x14ac:dyDescent="0.25">
      <c r="A150" s="9" t="s">
        <v>138</v>
      </c>
      <c r="B150" s="9" t="str">
        <f t="shared" si="14"/>
        <v>Frist für RB</v>
      </c>
      <c r="D150" s="60" t="s">
        <v>2730</v>
      </c>
      <c r="E150" s="61" t="s">
        <v>2731</v>
      </c>
      <c r="F150" s="62" t="s">
        <v>2732</v>
      </c>
      <c r="G150" s="62" t="s">
        <v>2733</v>
      </c>
      <c r="H150" s="61" t="s">
        <v>2734</v>
      </c>
      <c r="I150" s="50" t="s">
        <v>137</v>
      </c>
      <c r="J150" s="61" t="s">
        <v>3667</v>
      </c>
      <c r="K150" s="61" t="s">
        <v>3668</v>
      </c>
      <c r="L150" s="61" t="s">
        <v>3669</v>
      </c>
      <c r="M150" s="61" t="s">
        <v>3670</v>
      </c>
      <c r="N150" s="61"/>
      <c r="O150" s="61" t="s">
        <v>3671</v>
      </c>
      <c r="P150" s="61" t="s">
        <v>3672</v>
      </c>
      <c r="Q150" s="61" t="s">
        <v>3673</v>
      </c>
      <c r="R150" s="61" t="s">
        <v>3674</v>
      </c>
      <c r="S150" s="61" t="s">
        <v>3675</v>
      </c>
      <c r="T150" s="61" t="s">
        <v>3676</v>
      </c>
      <c r="U150" s="61" t="s">
        <v>3677</v>
      </c>
      <c r="V150" s="62" t="s">
        <v>3678</v>
      </c>
      <c r="W150" s="61" t="s">
        <v>3679</v>
      </c>
      <c r="X150" s="61" t="s">
        <v>3680</v>
      </c>
      <c r="Y150" s="61" t="s">
        <v>3681</v>
      </c>
      <c r="Z150" s="61" t="s">
        <v>3682</v>
      </c>
      <c r="AA150" s="61" t="s">
        <v>3683</v>
      </c>
      <c r="AB150" s="63" t="s">
        <v>3684</v>
      </c>
    </row>
    <row r="151" spans="1:28" x14ac:dyDescent="0.25">
      <c r="A151" s="9" t="s">
        <v>140</v>
      </c>
      <c r="B151" s="9" t="str">
        <f t="shared" si="14"/>
        <v>Gründe für die rückblickende Bewertung</v>
      </c>
      <c r="D151" s="60" t="s">
        <v>2735</v>
      </c>
      <c r="E151" s="61" t="s">
        <v>2736</v>
      </c>
      <c r="F151" s="62" t="s">
        <v>2737</v>
      </c>
      <c r="G151" s="62" t="s">
        <v>2738</v>
      </c>
      <c r="H151" s="61" t="s">
        <v>2739</v>
      </c>
      <c r="I151" s="52" t="s">
        <v>139</v>
      </c>
      <c r="J151" s="61" t="s">
        <v>3685</v>
      </c>
      <c r="K151" s="61" t="s">
        <v>3686</v>
      </c>
      <c r="L151" s="61" t="s">
        <v>3687</v>
      </c>
      <c r="M151" s="61" t="s">
        <v>3688</v>
      </c>
      <c r="N151" s="61"/>
      <c r="O151" s="61" t="s">
        <v>3689</v>
      </c>
      <c r="P151" s="61" t="s">
        <v>3690</v>
      </c>
      <c r="Q151" s="61" t="s">
        <v>3691</v>
      </c>
      <c r="R151" s="61" t="s">
        <v>3692</v>
      </c>
      <c r="S151" s="61" t="s">
        <v>3693</v>
      </c>
      <c r="T151" s="61" t="s">
        <v>3694</v>
      </c>
      <c r="U151" s="61" t="s">
        <v>3695</v>
      </c>
      <c r="V151" s="62" t="s">
        <v>3696</v>
      </c>
      <c r="W151" s="61" t="s">
        <v>3697</v>
      </c>
      <c r="X151" s="61" t="s">
        <v>3698</v>
      </c>
      <c r="Y151" s="61" t="s">
        <v>3699</v>
      </c>
      <c r="Z151" s="61" t="s">
        <v>3700</v>
      </c>
      <c r="AA151" s="61" t="s">
        <v>3701</v>
      </c>
      <c r="AB151" s="63" t="s">
        <v>3702</v>
      </c>
    </row>
    <row r="152" spans="1:28" x14ac:dyDescent="0.25">
      <c r="A152" s="21" t="s">
        <v>141</v>
      </c>
      <c r="B152" s="9" t="str">
        <f t="shared" si="14"/>
        <v>Umfasst schwere Verfahren</v>
      </c>
      <c r="D152" s="60" t="s">
        <v>2740</v>
      </c>
      <c r="E152" s="61" t="s">
        <v>2741</v>
      </c>
      <c r="F152" s="62" t="s">
        <v>2742</v>
      </c>
      <c r="G152" s="62" t="s">
        <v>2743</v>
      </c>
      <c r="H152" s="61" t="s">
        <v>2744</v>
      </c>
      <c r="I152" s="50" t="s">
        <v>145</v>
      </c>
      <c r="J152" s="61" t="s">
        <v>3703</v>
      </c>
      <c r="K152" s="61" t="s">
        <v>3704</v>
      </c>
      <c r="L152" s="61" t="s">
        <v>3705</v>
      </c>
      <c r="M152" s="61" t="s">
        <v>3706</v>
      </c>
      <c r="N152" s="61"/>
      <c r="O152" s="61" t="s">
        <v>3707</v>
      </c>
      <c r="P152" s="61" t="s">
        <v>3708</v>
      </c>
      <c r="Q152" s="61" t="s">
        <v>3709</v>
      </c>
      <c r="R152" s="61" t="s">
        <v>3710</v>
      </c>
      <c r="S152" s="61" t="s">
        <v>3711</v>
      </c>
      <c r="T152" s="61" t="s">
        <v>3712</v>
      </c>
      <c r="U152" s="61" t="s">
        <v>3713</v>
      </c>
      <c r="V152" s="62" t="s">
        <v>3714</v>
      </c>
      <c r="W152" s="61" t="s">
        <v>3715</v>
      </c>
      <c r="X152" s="61" t="s">
        <v>3716</v>
      </c>
      <c r="Y152" s="61" t="s">
        <v>3717</v>
      </c>
      <c r="Z152" s="61" t="s">
        <v>3718</v>
      </c>
      <c r="AA152" s="61" t="s">
        <v>3719</v>
      </c>
      <c r="AB152" s="63" t="s">
        <v>3720</v>
      </c>
    </row>
    <row r="153" spans="1:28" x14ac:dyDescent="0.25">
      <c r="A153" s="21" t="s">
        <v>142</v>
      </c>
      <c r="B153" s="9" t="str">
        <f t="shared" si="14"/>
        <v>Verwendung von nichtmenschlichen Primaten</v>
      </c>
      <c r="D153" s="60" t="s">
        <v>2745</v>
      </c>
      <c r="E153" s="61" t="s">
        <v>2746</v>
      </c>
      <c r="F153" s="62" t="s">
        <v>2747</v>
      </c>
      <c r="G153" s="62" t="s">
        <v>2748</v>
      </c>
      <c r="H153" s="61" t="s">
        <v>2749</v>
      </c>
      <c r="I153" s="50" t="s">
        <v>146</v>
      </c>
      <c r="J153" s="61" t="s">
        <v>3721</v>
      </c>
      <c r="K153" s="61" t="s">
        <v>3722</v>
      </c>
      <c r="L153" s="61" t="s">
        <v>3723</v>
      </c>
      <c r="M153" s="61" t="s">
        <v>3724</v>
      </c>
      <c r="N153" s="61"/>
      <c r="O153" s="61" t="s">
        <v>3725</v>
      </c>
      <c r="P153" s="61" t="s">
        <v>3726</v>
      </c>
      <c r="Q153" s="61" t="s">
        <v>3727</v>
      </c>
      <c r="R153" s="61" t="s">
        <v>3728</v>
      </c>
      <c r="S153" s="61" t="s">
        <v>3729</v>
      </c>
      <c r="T153" s="61" t="s">
        <v>3730</v>
      </c>
      <c r="U153" s="61" t="s">
        <v>3731</v>
      </c>
      <c r="V153" s="62" t="s">
        <v>3732</v>
      </c>
      <c r="W153" s="61" t="s">
        <v>3733</v>
      </c>
      <c r="X153" s="61" t="s">
        <v>3734</v>
      </c>
      <c r="Y153" s="61" t="s">
        <v>3735</v>
      </c>
      <c r="Z153" s="61" t="s">
        <v>3736</v>
      </c>
      <c r="AA153" s="61" t="s">
        <v>3737</v>
      </c>
      <c r="AB153" s="63" t="s">
        <v>3738</v>
      </c>
    </row>
    <row r="154" spans="1:28" x14ac:dyDescent="0.25">
      <c r="A154" s="21" t="s">
        <v>143</v>
      </c>
      <c r="B154" s="9" t="str">
        <f t="shared" si="14"/>
        <v>Anderer Grund</v>
      </c>
      <c r="D154" s="60" t="s">
        <v>2750</v>
      </c>
      <c r="E154" s="61" t="s">
        <v>2751</v>
      </c>
      <c r="F154" s="62" t="s">
        <v>2752</v>
      </c>
      <c r="G154" s="62" t="s">
        <v>2753</v>
      </c>
      <c r="H154" s="61" t="s">
        <v>2754</v>
      </c>
      <c r="I154" s="50" t="s">
        <v>147</v>
      </c>
      <c r="J154" s="61" t="s">
        <v>3739</v>
      </c>
      <c r="K154" s="61" t="s">
        <v>3740</v>
      </c>
      <c r="L154" s="61" t="s">
        <v>3741</v>
      </c>
      <c r="M154" s="61" t="s">
        <v>3742</v>
      </c>
      <c r="N154" s="61"/>
      <c r="O154" s="61" t="s">
        <v>3743</v>
      </c>
      <c r="P154" s="61" t="s">
        <v>3744</v>
      </c>
      <c r="Q154" s="61" t="s">
        <v>3745</v>
      </c>
      <c r="R154" s="61" t="s">
        <v>3746</v>
      </c>
      <c r="S154" s="61" t="s">
        <v>3747</v>
      </c>
      <c r="T154" s="61" t="s">
        <v>3748</v>
      </c>
      <c r="U154" s="61" t="s">
        <v>3749</v>
      </c>
      <c r="V154" s="62" t="s">
        <v>3750</v>
      </c>
      <c r="W154" s="61" t="s">
        <v>3751</v>
      </c>
      <c r="X154" s="61" t="s">
        <v>3752</v>
      </c>
      <c r="Y154" s="61" t="s">
        <v>3753</v>
      </c>
      <c r="Z154" s="61" t="s">
        <v>3754</v>
      </c>
      <c r="AA154" s="61" t="s">
        <v>3755</v>
      </c>
      <c r="AB154" s="63" t="s">
        <v>3756</v>
      </c>
    </row>
    <row r="155" spans="1:28" x14ac:dyDescent="0.25">
      <c r="A155" s="21" t="s">
        <v>144</v>
      </c>
      <c r="B155" s="9" t="str">
        <f t="shared" si="14"/>
        <v>Erläuterung des anderen Grundes für die rückblickende Bewertung</v>
      </c>
      <c r="D155" s="60" t="s">
        <v>2755</v>
      </c>
      <c r="E155" s="61" t="s">
        <v>2756</v>
      </c>
      <c r="F155" s="62" t="s">
        <v>2757</v>
      </c>
      <c r="G155" s="62" t="s">
        <v>2758</v>
      </c>
      <c r="H155" s="61" t="s">
        <v>2759</v>
      </c>
      <c r="I155" s="52" t="s">
        <v>148</v>
      </c>
      <c r="J155" s="61" t="s">
        <v>3757</v>
      </c>
      <c r="K155" s="61" t="s">
        <v>3758</v>
      </c>
      <c r="L155" s="61" t="s">
        <v>3759</v>
      </c>
      <c r="M155" s="61" t="s">
        <v>3760</v>
      </c>
      <c r="N155" s="61"/>
      <c r="O155" s="61" t="s">
        <v>3761</v>
      </c>
      <c r="P155" s="61" t="s">
        <v>3762</v>
      </c>
      <c r="Q155" s="61" t="s">
        <v>3763</v>
      </c>
      <c r="R155" s="61" t="s">
        <v>3764</v>
      </c>
      <c r="S155" s="61" t="s">
        <v>3765</v>
      </c>
      <c r="T155" s="61" t="s">
        <v>3766</v>
      </c>
      <c r="U155" s="61" t="s">
        <v>3767</v>
      </c>
      <c r="V155" s="62" t="s">
        <v>3768</v>
      </c>
      <c r="W155" s="61" t="s">
        <v>3769</v>
      </c>
      <c r="X155" s="61" t="s">
        <v>3770</v>
      </c>
      <c r="Y155" s="61" t="s">
        <v>3771</v>
      </c>
      <c r="Z155" s="61" t="s">
        <v>3772</v>
      </c>
      <c r="AA155" s="61" t="s">
        <v>3773</v>
      </c>
      <c r="AB155" s="63" t="s">
        <v>3774</v>
      </c>
    </row>
    <row r="156" spans="1:28" x14ac:dyDescent="0.25">
      <c r="A156" s="9" t="s">
        <v>149</v>
      </c>
      <c r="B156" s="9" t="str">
        <f t="shared" si="14"/>
        <v>Bitte mindestens einen Grund angeben.</v>
      </c>
      <c r="D156" s="60" t="s">
        <v>2760</v>
      </c>
      <c r="E156" s="61" t="s">
        <v>2653</v>
      </c>
      <c r="F156" s="62" t="s">
        <v>2761</v>
      </c>
      <c r="G156" s="62" t="s">
        <v>2762</v>
      </c>
      <c r="H156" s="61" t="s">
        <v>2763</v>
      </c>
      <c r="I156" s="50" t="s">
        <v>563</v>
      </c>
      <c r="J156" s="61" t="s">
        <v>3775</v>
      </c>
      <c r="K156" s="61" t="s">
        <v>3776</v>
      </c>
      <c r="L156" s="61" t="s">
        <v>3777</v>
      </c>
      <c r="M156" s="61" t="s">
        <v>3778</v>
      </c>
      <c r="N156" s="61"/>
      <c r="O156" s="61" t="s">
        <v>3779</v>
      </c>
      <c r="P156" s="61" t="s">
        <v>3780</v>
      </c>
      <c r="Q156" s="61" t="s">
        <v>3781</v>
      </c>
      <c r="R156" s="61" t="s">
        <v>3782</v>
      </c>
      <c r="S156" s="61" t="s">
        <v>3783</v>
      </c>
      <c r="T156" s="61" t="s">
        <v>3784</v>
      </c>
      <c r="U156" s="61" t="s">
        <v>3785</v>
      </c>
      <c r="V156" s="62" t="s">
        <v>3786</v>
      </c>
      <c r="W156" s="61" t="s">
        <v>3787</v>
      </c>
      <c r="X156" s="61" t="s">
        <v>3788</v>
      </c>
      <c r="Y156" s="61" t="s">
        <v>3789</v>
      </c>
      <c r="Z156" s="61" t="s">
        <v>3790</v>
      </c>
      <c r="AA156" s="61" t="s">
        <v>3791</v>
      </c>
      <c r="AB156" s="63" t="s">
        <v>3792</v>
      </c>
    </row>
    <row r="157" spans="1:28" x14ac:dyDescent="0.25">
      <c r="A157" s="21" t="s">
        <v>150</v>
      </c>
      <c r="B157" s="9" t="str">
        <f t="shared" si="14"/>
        <v>Inkonsistenter Wert</v>
      </c>
      <c r="D157" s="60" t="s">
        <v>2764</v>
      </c>
      <c r="E157" s="61" t="s">
        <v>2765</v>
      </c>
      <c r="F157" s="62" t="s">
        <v>2766</v>
      </c>
      <c r="G157" s="62" t="s">
        <v>2767</v>
      </c>
      <c r="H157" s="61" t="s">
        <v>2768</v>
      </c>
      <c r="I157" s="50" t="s">
        <v>151</v>
      </c>
      <c r="J157" s="61" t="s">
        <v>3793</v>
      </c>
      <c r="K157" s="61" t="s">
        <v>3794</v>
      </c>
      <c r="L157" s="61" t="s">
        <v>3795</v>
      </c>
      <c r="M157" s="61" t="s">
        <v>3796</v>
      </c>
      <c r="N157" s="61"/>
      <c r="O157" s="61" t="s">
        <v>3797</v>
      </c>
      <c r="P157" s="61" t="s">
        <v>3798</v>
      </c>
      <c r="Q157" s="61" t="s">
        <v>3799</v>
      </c>
      <c r="R157" s="61" t="s">
        <v>3800</v>
      </c>
      <c r="S157" s="61" t="s">
        <v>3801</v>
      </c>
      <c r="T157" s="61" t="s">
        <v>3802</v>
      </c>
      <c r="U157" s="61" t="s">
        <v>3803</v>
      </c>
      <c r="V157" s="62" t="s">
        <v>3804</v>
      </c>
      <c r="W157" s="61" t="s">
        <v>3805</v>
      </c>
      <c r="X157" s="61" t="s">
        <v>3806</v>
      </c>
      <c r="Y157" s="61" t="s">
        <v>3807</v>
      </c>
      <c r="Z157" s="61" t="s">
        <v>3808</v>
      </c>
      <c r="AA157" s="61" t="s">
        <v>3809</v>
      </c>
      <c r="AB157" s="63" t="s">
        <v>3810</v>
      </c>
    </row>
    <row r="158" spans="1:28" x14ac:dyDescent="0.25">
      <c r="A158" s="21" t="s">
        <v>364</v>
      </c>
      <c r="B158" s="9" t="str">
        <f t="shared" si="14"/>
        <v>Nationale Kennung der NTP (wird von Behörde ausgefüllt)</v>
      </c>
      <c r="D158" s="60" t="s">
        <v>2769</v>
      </c>
      <c r="E158" s="61" t="s">
        <v>2770</v>
      </c>
      <c r="F158" s="62" t="s">
        <v>2771</v>
      </c>
      <c r="G158" s="62" t="s">
        <v>4938</v>
      </c>
      <c r="H158" s="61" t="s">
        <v>2773</v>
      </c>
      <c r="I158" s="50" t="s">
        <v>363</v>
      </c>
      <c r="J158" s="61" t="s">
        <v>3811</v>
      </c>
      <c r="K158" s="61" t="s">
        <v>3812</v>
      </c>
      <c r="L158" s="61" t="s">
        <v>3813</v>
      </c>
      <c r="M158" s="61" t="s">
        <v>3814</v>
      </c>
      <c r="N158" s="61"/>
      <c r="O158" s="61" t="s">
        <v>3815</v>
      </c>
      <c r="P158" s="61" t="s">
        <v>3816</v>
      </c>
      <c r="Q158" s="61" t="s">
        <v>3817</v>
      </c>
      <c r="R158" s="61" t="s">
        <v>3818</v>
      </c>
      <c r="S158" s="61" t="s">
        <v>3819</v>
      </c>
      <c r="T158" s="61" t="s">
        <v>3820</v>
      </c>
      <c r="U158" s="61" t="s">
        <v>3821</v>
      </c>
      <c r="V158" s="62" t="s">
        <v>3822</v>
      </c>
      <c r="W158" s="61" t="s">
        <v>3823</v>
      </c>
      <c r="X158" s="61" t="s">
        <v>3824</v>
      </c>
      <c r="Y158" s="61" t="s">
        <v>3825</v>
      </c>
      <c r="Z158" s="61" t="s">
        <v>3826</v>
      </c>
      <c r="AA158" s="61" t="s">
        <v>3827</v>
      </c>
      <c r="AB158" s="63" t="s">
        <v>3828</v>
      </c>
    </row>
    <row r="159" spans="1:28" x14ac:dyDescent="0.25">
      <c r="A159" s="21" t="s">
        <v>175</v>
      </c>
      <c r="B159" s="9" t="str">
        <f t="shared" ref="B159:B184" si="15">IF(TRIM(HLOOKUP(language_or_default,textTranslations,MATCH(A159,text,0),FALSE))="",HLOOKUP("en",textTranslations,MATCH(A159,text,0),FALSE),HLOOKUP(language_or_default,textTranslations,MATCH(A159,text,0),FALSE))</f>
        <v>Entfällt für das ausgewählte Land.</v>
      </c>
      <c r="D159" s="60" t="s">
        <v>2774</v>
      </c>
      <c r="E159" s="61" t="s">
        <v>2775</v>
      </c>
      <c r="F159" s="62" t="s">
        <v>2776</v>
      </c>
      <c r="G159" s="62" t="s">
        <v>2777</v>
      </c>
      <c r="H159" s="61" t="s">
        <v>2778</v>
      </c>
      <c r="I159" s="50" t="s">
        <v>176</v>
      </c>
      <c r="J159" s="61" t="s">
        <v>3829</v>
      </c>
      <c r="K159" s="61" t="s">
        <v>3830</v>
      </c>
      <c r="L159" s="61" t="s">
        <v>3831</v>
      </c>
      <c r="M159" s="61" t="s">
        <v>3832</v>
      </c>
      <c r="N159" s="61"/>
      <c r="O159" s="61" t="s">
        <v>3833</v>
      </c>
      <c r="P159" s="61" t="s">
        <v>3834</v>
      </c>
      <c r="Q159" s="61" t="s">
        <v>3835</v>
      </c>
      <c r="R159" s="61" t="s">
        <v>3836</v>
      </c>
      <c r="S159" s="61" t="s">
        <v>3837</v>
      </c>
      <c r="T159" s="61" t="s">
        <v>3838</v>
      </c>
      <c r="U159" s="61" t="s">
        <v>3839</v>
      </c>
      <c r="V159" s="62" t="s">
        <v>3840</v>
      </c>
      <c r="W159" s="61" t="s">
        <v>3841</v>
      </c>
      <c r="X159" s="61" t="s">
        <v>3842</v>
      </c>
      <c r="Y159" s="61" t="s">
        <v>3843</v>
      </c>
      <c r="Z159" s="61" t="s">
        <v>3844</v>
      </c>
      <c r="AA159" s="61" t="s">
        <v>3845</v>
      </c>
      <c r="AB159" s="63" t="s">
        <v>3846</v>
      </c>
    </row>
    <row r="160" spans="1:28" x14ac:dyDescent="0.25">
      <c r="A160" s="21" t="s">
        <v>177</v>
      </c>
      <c r="B160" s="9" t="str">
        <f t="shared" si="15"/>
        <v>Von der zuständigen Behörde auszufüllen.</v>
      </c>
      <c r="D160" s="60" t="s">
        <v>2779</v>
      </c>
      <c r="E160" s="61" t="s">
        <v>2780</v>
      </c>
      <c r="F160" s="62" t="s">
        <v>2781</v>
      </c>
      <c r="G160" s="62" t="s">
        <v>2782</v>
      </c>
      <c r="H160" s="61" t="s">
        <v>2783</v>
      </c>
      <c r="I160" s="50" t="s">
        <v>178</v>
      </c>
      <c r="J160" s="61" t="s">
        <v>3847</v>
      </c>
      <c r="K160" s="61" t="s">
        <v>3848</v>
      </c>
      <c r="L160" s="61" t="s">
        <v>3849</v>
      </c>
      <c r="M160" s="61" t="s">
        <v>3850</v>
      </c>
      <c r="N160" s="61"/>
      <c r="O160" s="61" t="s">
        <v>3851</v>
      </c>
      <c r="P160" s="61" t="s">
        <v>3852</v>
      </c>
      <c r="Q160" s="61" t="s">
        <v>3853</v>
      </c>
      <c r="R160" s="61" t="s">
        <v>3854</v>
      </c>
      <c r="S160" s="61" t="s">
        <v>3855</v>
      </c>
      <c r="T160" s="61" t="s">
        <v>3856</v>
      </c>
      <c r="U160" s="61" t="s">
        <v>3857</v>
      </c>
      <c r="V160" s="62" t="s">
        <v>3858</v>
      </c>
      <c r="W160" s="61" t="s">
        <v>3859</v>
      </c>
      <c r="X160" s="61" t="s">
        <v>3860</v>
      </c>
      <c r="Y160" s="61" t="s">
        <v>3861</v>
      </c>
      <c r="Z160" s="61" t="s">
        <v>3862</v>
      </c>
      <c r="AA160" s="61" t="s">
        <v>3863</v>
      </c>
      <c r="AB160" s="63" t="s">
        <v>3864</v>
      </c>
    </row>
    <row r="161" spans="1:28" x14ac:dyDescent="0.25">
      <c r="A161" s="21" t="s">
        <v>303</v>
      </c>
      <c r="B161" s="9" t="str">
        <f t="shared" si="15"/>
        <v>Gesamtzahl muss höher sein als 0.</v>
      </c>
      <c r="D161" s="60" t="s">
        <v>2784</v>
      </c>
      <c r="E161" s="61" t="s">
        <v>2785</v>
      </c>
      <c r="F161" s="62" t="s">
        <v>2786</v>
      </c>
      <c r="G161" s="62" t="s">
        <v>2787</v>
      </c>
      <c r="H161" s="61" t="s">
        <v>2788</v>
      </c>
      <c r="I161" s="50" t="s">
        <v>306</v>
      </c>
      <c r="J161" s="61" t="s">
        <v>3865</v>
      </c>
      <c r="K161" s="61" t="s">
        <v>3866</v>
      </c>
      <c r="L161" s="61" t="s">
        <v>3867</v>
      </c>
      <c r="M161" s="61" t="s">
        <v>3868</v>
      </c>
      <c r="N161" s="61"/>
      <c r="O161" s="61" t="s">
        <v>3869</v>
      </c>
      <c r="P161" s="61" t="s">
        <v>3870</v>
      </c>
      <c r="Q161" s="61" t="s">
        <v>3871</v>
      </c>
      <c r="R161" s="61" t="s">
        <v>3872</v>
      </c>
      <c r="S161" s="61" t="s">
        <v>3873</v>
      </c>
      <c r="T161" s="61" t="s">
        <v>3874</v>
      </c>
      <c r="U161" s="61" t="s">
        <v>3875</v>
      </c>
      <c r="V161" s="62" t="s">
        <v>3876</v>
      </c>
      <c r="W161" s="61" t="s">
        <v>3877</v>
      </c>
      <c r="X161" s="61" t="s">
        <v>3878</v>
      </c>
      <c r="Y161" s="61" t="s">
        <v>3879</v>
      </c>
      <c r="Z161" s="61" t="s">
        <v>3880</v>
      </c>
      <c r="AA161" s="61" t="s">
        <v>3881</v>
      </c>
      <c r="AB161" s="63" t="s">
        <v>3882</v>
      </c>
    </row>
    <row r="162" spans="1:28" x14ac:dyDescent="0.25">
      <c r="A162" s="21" t="s">
        <v>304</v>
      </c>
      <c r="B162" s="9" t="str">
        <f t="shared" si="15"/>
        <v>Bitte die Art angeben.</v>
      </c>
      <c r="D162" s="60" t="s">
        <v>2789</v>
      </c>
      <c r="E162" s="61" t="s">
        <v>2790</v>
      </c>
      <c r="F162" s="62" t="s">
        <v>2791</v>
      </c>
      <c r="G162" s="62" t="s">
        <v>2792</v>
      </c>
      <c r="H162" s="61" t="s">
        <v>2793</v>
      </c>
      <c r="I162" s="50" t="s">
        <v>305</v>
      </c>
      <c r="J162" s="61" t="s">
        <v>3883</v>
      </c>
      <c r="K162" s="61" t="s">
        <v>3884</v>
      </c>
      <c r="L162" s="61" t="s">
        <v>3885</v>
      </c>
      <c r="M162" s="61" t="s">
        <v>3886</v>
      </c>
      <c r="N162" s="61"/>
      <c r="O162" s="61" t="s">
        <v>3887</v>
      </c>
      <c r="P162" s="61" t="s">
        <v>3888</v>
      </c>
      <c r="Q162" s="61" t="s">
        <v>3889</v>
      </c>
      <c r="R162" s="61" t="s">
        <v>3890</v>
      </c>
      <c r="S162" s="61" t="s">
        <v>3891</v>
      </c>
      <c r="T162" s="61" t="s">
        <v>3892</v>
      </c>
      <c r="U162" s="61" t="s">
        <v>3893</v>
      </c>
      <c r="V162" s="62" t="s">
        <v>3894</v>
      </c>
      <c r="W162" s="61" t="s">
        <v>3895</v>
      </c>
      <c r="X162" s="61" t="s">
        <v>3896</v>
      </c>
      <c r="Y162" s="61" t="s">
        <v>3897</v>
      </c>
      <c r="Z162" s="61" t="s">
        <v>3898</v>
      </c>
      <c r="AA162" s="61" t="s">
        <v>3899</v>
      </c>
      <c r="AB162" s="63" t="s">
        <v>3900</v>
      </c>
    </row>
    <row r="163" spans="1:28" x14ac:dyDescent="0.25">
      <c r="A163" s="21" t="s">
        <v>308</v>
      </c>
      <c r="B163" s="9" t="str">
        <f t="shared" si="15"/>
        <v>Mindestens 1 Zeile.</v>
      </c>
      <c r="D163" s="60" t="s">
        <v>2794</v>
      </c>
      <c r="E163" s="61" t="s">
        <v>2795</v>
      </c>
      <c r="F163" s="62" t="s">
        <v>2796</v>
      </c>
      <c r="G163" s="62" t="s">
        <v>2797</v>
      </c>
      <c r="H163" s="61" t="s">
        <v>2798</v>
      </c>
      <c r="I163" s="50" t="s">
        <v>307</v>
      </c>
      <c r="J163" s="61" t="s">
        <v>3901</v>
      </c>
      <c r="K163" s="61" t="s">
        <v>3902</v>
      </c>
      <c r="L163" s="61" t="s">
        <v>3903</v>
      </c>
      <c r="M163" s="61" t="s">
        <v>3904</v>
      </c>
      <c r="N163" s="61"/>
      <c r="O163" s="61" t="s">
        <v>3905</v>
      </c>
      <c r="P163" s="61" t="s">
        <v>3906</v>
      </c>
      <c r="Q163" s="61" t="s">
        <v>3907</v>
      </c>
      <c r="R163" s="61" t="s">
        <v>3908</v>
      </c>
      <c r="S163" s="61" t="s">
        <v>3909</v>
      </c>
      <c r="T163" s="61" t="s">
        <v>3910</v>
      </c>
      <c r="U163" s="61" t="s">
        <v>3911</v>
      </c>
      <c r="V163" s="62" t="s">
        <v>3912</v>
      </c>
      <c r="W163" s="61" t="s">
        <v>3913</v>
      </c>
      <c r="X163" s="61" t="s">
        <v>3914</v>
      </c>
      <c r="Y163" s="61" t="s">
        <v>3915</v>
      </c>
      <c r="Z163" s="61" t="s">
        <v>3916</v>
      </c>
      <c r="AA163" s="61" t="s">
        <v>3917</v>
      </c>
      <c r="AB163" s="63" t="s">
        <v>3918</v>
      </c>
    </row>
    <row r="164" spans="1:28" x14ac:dyDescent="0.25">
      <c r="A164" s="21" t="s">
        <v>309</v>
      </c>
      <c r="B164" s="9" t="str">
        <f t="shared" si="15"/>
        <v>Art</v>
      </c>
      <c r="D164" s="60" t="s">
        <v>2799</v>
      </c>
      <c r="E164" s="61" t="s">
        <v>2800</v>
      </c>
      <c r="F164" s="62" t="s">
        <v>2801</v>
      </c>
      <c r="G164" s="62" t="s">
        <v>2801</v>
      </c>
      <c r="H164" s="61" t="s">
        <v>2802</v>
      </c>
      <c r="I164" s="50" t="s">
        <v>185</v>
      </c>
      <c r="J164" s="61" t="s">
        <v>3919</v>
      </c>
      <c r="K164" s="61" t="s">
        <v>3920</v>
      </c>
      <c r="L164" s="61" t="s">
        <v>3921</v>
      </c>
      <c r="M164" s="61" t="s">
        <v>3922</v>
      </c>
      <c r="N164" s="61"/>
      <c r="O164" s="61" t="s">
        <v>3923</v>
      </c>
      <c r="P164" s="61" t="s">
        <v>3924</v>
      </c>
      <c r="Q164" s="61" t="s">
        <v>3925</v>
      </c>
      <c r="R164" s="61" t="s">
        <v>3926</v>
      </c>
      <c r="S164" s="61" t="s">
        <v>3927</v>
      </c>
      <c r="T164" s="61" t="s">
        <v>3928</v>
      </c>
      <c r="U164" s="61" t="s">
        <v>3929</v>
      </c>
      <c r="V164" s="62" t="s">
        <v>3930</v>
      </c>
      <c r="W164" s="61" t="s">
        <v>3931</v>
      </c>
      <c r="X164" s="61" t="s">
        <v>3932</v>
      </c>
      <c r="Y164" s="61" t="s">
        <v>2800</v>
      </c>
      <c r="Z164" s="61" t="s">
        <v>3923</v>
      </c>
      <c r="AA164" s="61" t="s">
        <v>3933</v>
      </c>
      <c r="AB164" s="63" t="s">
        <v>3934</v>
      </c>
    </row>
    <row r="165" spans="1:28" x14ac:dyDescent="0.25">
      <c r="A165" s="21" t="s">
        <v>310</v>
      </c>
      <c r="B165" s="9" t="str">
        <f t="shared" si="15"/>
        <v>Keine Wiederherstellung der Lebensfunktion</v>
      </c>
      <c r="D165" s="60" t="s">
        <v>2803</v>
      </c>
      <c r="E165" s="61" t="s">
        <v>2804</v>
      </c>
      <c r="F165" s="62" t="s">
        <v>2805</v>
      </c>
      <c r="G165" s="62" t="s">
        <v>2806</v>
      </c>
      <c r="H165" s="61" t="s">
        <v>2807</v>
      </c>
      <c r="I165" s="50" t="s">
        <v>188</v>
      </c>
      <c r="J165" s="61" t="s">
        <v>3935</v>
      </c>
      <c r="K165" s="61" t="s">
        <v>3936</v>
      </c>
      <c r="L165" s="61" t="s">
        <v>3937</v>
      </c>
      <c r="M165" s="61" t="s">
        <v>3938</v>
      </c>
      <c r="N165" s="61"/>
      <c r="O165" s="61" t="s">
        <v>3939</v>
      </c>
      <c r="P165" s="61" t="s">
        <v>3940</v>
      </c>
      <c r="Q165" s="61" t="s">
        <v>3941</v>
      </c>
      <c r="R165" s="61" t="s">
        <v>3942</v>
      </c>
      <c r="S165" s="61" t="s">
        <v>3943</v>
      </c>
      <c r="T165" s="61" t="s">
        <v>3944</v>
      </c>
      <c r="U165" s="61" t="s">
        <v>3945</v>
      </c>
      <c r="V165" s="62" t="s">
        <v>3946</v>
      </c>
      <c r="W165" s="61" t="s">
        <v>3947</v>
      </c>
      <c r="X165" s="61" t="s">
        <v>3948</v>
      </c>
      <c r="Y165" s="61" t="s">
        <v>3949</v>
      </c>
      <c r="Z165" s="61" t="s">
        <v>3939</v>
      </c>
      <c r="AA165" s="61" t="s">
        <v>3950</v>
      </c>
      <c r="AB165" s="63" t="s">
        <v>2805</v>
      </c>
    </row>
    <row r="166" spans="1:28" x14ac:dyDescent="0.25">
      <c r="A166" s="21" t="s">
        <v>311</v>
      </c>
      <c r="B166" s="9" t="str">
        <f t="shared" si="15"/>
        <v>Gering</v>
      </c>
      <c r="D166" s="60" t="s">
        <v>2808</v>
      </c>
      <c r="E166" s="61" t="s">
        <v>2809</v>
      </c>
      <c r="F166" s="62" t="s">
        <v>2810</v>
      </c>
      <c r="G166" s="62" t="s">
        <v>2811</v>
      </c>
      <c r="H166" s="61" t="s">
        <v>2812</v>
      </c>
      <c r="I166" s="50" t="s">
        <v>184</v>
      </c>
      <c r="J166" s="61" t="s">
        <v>3951</v>
      </c>
      <c r="K166" s="61" t="s">
        <v>3952</v>
      </c>
      <c r="L166" s="61" t="s">
        <v>3953</v>
      </c>
      <c r="M166" s="61" t="s">
        <v>3954</v>
      </c>
      <c r="N166" s="61"/>
      <c r="O166" s="61" t="s">
        <v>3955</v>
      </c>
      <c r="P166" s="61" t="s">
        <v>3956</v>
      </c>
      <c r="Q166" s="61" t="s">
        <v>3957</v>
      </c>
      <c r="R166" s="61" t="s">
        <v>3958</v>
      </c>
      <c r="S166" s="61" t="s">
        <v>3959</v>
      </c>
      <c r="T166" s="61" t="s">
        <v>3960</v>
      </c>
      <c r="U166" s="61" t="s">
        <v>3961</v>
      </c>
      <c r="V166" s="62" t="s">
        <v>3962</v>
      </c>
      <c r="W166" s="61" t="s">
        <v>3963</v>
      </c>
      <c r="X166" s="61" t="s">
        <v>3964</v>
      </c>
      <c r="Y166" s="61" t="s">
        <v>3965</v>
      </c>
      <c r="Z166" s="61" t="s">
        <v>3955</v>
      </c>
      <c r="AA166" s="61" t="s">
        <v>3966</v>
      </c>
      <c r="AB166" s="63" t="s">
        <v>184</v>
      </c>
    </row>
    <row r="167" spans="1:28" x14ac:dyDescent="0.25">
      <c r="A167" s="21" t="s">
        <v>312</v>
      </c>
      <c r="B167" s="9" t="str">
        <f t="shared" si="15"/>
        <v>Mittel</v>
      </c>
      <c r="D167" s="60" t="s">
        <v>2813</v>
      </c>
      <c r="E167" s="61" t="s">
        <v>2814</v>
      </c>
      <c r="F167" s="62" t="s">
        <v>2815</v>
      </c>
      <c r="G167" s="62" t="s">
        <v>2816</v>
      </c>
      <c r="H167" s="61" t="s">
        <v>2817</v>
      </c>
      <c r="I167" s="50" t="s">
        <v>186</v>
      </c>
      <c r="J167" s="61" t="s">
        <v>3967</v>
      </c>
      <c r="K167" s="61" t="s">
        <v>3968</v>
      </c>
      <c r="L167" s="61" t="s">
        <v>3969</v>
      </c>
      <c r="M167" s="61" t="s">
        <v>3970</v>
      </c>
      <c r="N167" s="61"/>
      <c r="O167" s="61" t="s">
        <v>3971</v>
      </c>
      <c r="P167" s="61" t="s">
        <v>3972</v>
      </c>
      <c r="Q167" s="61" t="s">
        <v>3973</v>
      </c>
      <c r="R167" s="61" t="s">
        <v>3974</v>
      </c>
      <c r="S167" s="61" t="s">
        <v>3975</v>
      </c>
      <c r="T167" s="61" t="s">
        <v>3976</v>
      </c>
      <c r="U167" s="61" t="s">
        <v>3977</v>
      </c>
      <c r="V167" s="62" t="s">
        <v>3978</v>
      </c>
      <c r="W167" s="61" t="s">
        <v>3967</v>
      </c>
      <c r="X167" s="61" t="s">
        <v>3979</v>
      </c>
      <c r="Y167" s="61" t="s">
        <v>3980</v>
      </c>
      <c r="Z167" s="61" t="s">
        <v>3981</v>
      </c>
      <c r="AA167" s="61" t="s">
        <v>3982</v>
      </c>
      <c r="AB167" s="63" t="s">
        <v>2815</v>
      </c>
    </row>
    <row r="168" spans="1:28" x14ac:dyDescent="0.25">
      <c r="A168" s="21" t="s">
        <v>313</v>
      </c>
      <c r="B168" s="9" t="str">
        <f t="shared" si="15"/>
        <v>Schwer</v>
      </c>
      <c r="D168" s="60" t="s">
        <v>2818</v>
      </c>
      <c r="E168" s="61" t="s">
        <v>2819</v>
      </c>
      <c r="F168" s="62" t="s">
        <v>2820</v>
      </c>
      <c r="G168" s="62" t="s">
        <v>2821</v>
      </c>
      <c r="H168" s="61" t="s">
        <v>2822</v>
      </c>
      <c r="I168" s="50" t="s">
        <v>187</v>
      </c>
      <c r="J168" s="61" t="s">
        <v>3983</v>
      </c>
      <c r="K168" s="61" t="s">
        <v>3984</v>
      </c>
      <c r="L168" s="61" t="s">
        <v>3985</v>
      </c>
      <c r="M168" s="61" t="s">
        <v>3986</v>
      </c>
      <c r="N168" s="61"/>
      <c r="O168" s="61" t="s">
        <v>3987</v>
      </c>
      <c r="P168" s="61" t="s">
        <v>3988</v>
      </c>
      <c r="Q168" s="61" t="s">
        <v>3989</v>
      </c>
      <c r="R168" s="61" t="s">
        <v>3990</v>
      </c>
      <c r="S168" s="61" t="s">
        <v>3991</v>
      </c>
      <c r="T168" s="61" t="s">
        <v>3992</v>
      </c>
      <c r="U168" s="61" t="s">
        <v>3993</v>
      </c>
      <c r="V168" s="62" t="s">
        <v>3994</v>
      </c>
      <c r="W168" s="61" t="s">
        <v>3995</v>
      </c>
      <c r="X168" s="61" t="s">
        <v>3996</v>
      </c>
      <c r="Y168" s="61" t="s">
        <v>3997</v>
      </c>
      <c r="Z168" s="61" t="s">
        <v>3998</v>
      </c>
      <c r="AA168" s="61" t="s">
        <v>3999</v>
      </c>
      <c r="AB168" s="63" t="s">
        <v>4000</v>
      </c>
    </row>
    <row r="169" spans="1:28" x14ac:dyDescent="0.25">
      <c r="A169" s="21" t="s">
        <v>314</v>
      </c>
      <c r="B169" s="9" t="str">
        <f t="shared" si="15"/>
        <v>Gesamtzahl</v>
      </c>
      <c r="D169" s="60" t="s">
        <v>2823</v>
      </c>
      <c r="E169" s="61" t="s">
        <v>2824</v>
      </c>
      <c r="F169" s="62" t="s">
        <v>2825</v>
      </c>
      <c r="G169" s="62" t="s">
        <v>2826</v>
      </c>
      <c r="H169" s="61" t="s">
        <v>2827</v>
      </c>
      <c r="I169" s="50" t="s">
        <v>11</v>
      </c>
      <c r="J169" s="61" t="s">
        <v>4001</v>
      </c>
      <c r="K169" s="61" t="s">
        <v>4002</v>
      </c>
      <c r="L169" s="61" t="s">
        <v>4003</v>
      </c>
      <c r="M169" s="61" t="s">
        <v>4004</v>
      </c>
      <c r="N169" s="61"/>
      <c r="O169" s="61" t="s">
        <v>4005</v>
      </c>
      <c r="P169" s="61" t="s">
        <v>4006</v>
      </c>
      <c r="Q169" s="61" t="s">
        <v>4007</v>
      </c>
      <c r="R169" s="61" t="s">
        <v>4008</v>
      </c>
      <c r="S169" s="61" t="s">
        <v>4009</v>
      </c>
      <c r="T169" s="61" t="s">
        <v>4010</v>
      </c>
      <c r="U169" s="61" t="s">
        <v>4011</v>
      </c>
      <c r="V169" s="62" t="s">
        <v>4012</v>
      </c>
      <c r="W169" s="61" t="s">
        <v>4001</v>
      </c>
      <c r="X169" s="61" t="s">
        <v>4013</v>
      </c>
      <c r="Y169" s="61" t="s">
        <v>2824</v>
      </c>
      <c r="Z169" s="61" t="s">
        <v>4014</v>
      </c>
      <c r="AA169" s="61" t="s">
        <v>4015</v>
      </c>
      <c r="AB169" s="63" t="s">
        <v>4016</v>
      </c>
    </row>
    <row r="170" spans="1:28" x14ac:dyDescent="0.25">
      <c r="A170" s="21" t="s">
        <v>318</v>
      </c>
      <c r="B170" s="9" t="str">
        <f t="shared" si="15"/>
        <v>Erneut verwendet</v>
      </c>
      <c r="D170" s="60" t="s">
        <v>2828</v>
      </c>
      <c r="E170" s="61" t="s">
        <v>2829</v>
      </c>
      <c r="F170" s="62" t="s">
        <v>2830</v>
      </c>
      <c r="G170" s="62" t="s">
        <v>2831</v>
      </c>
      <c r="H170" s="61" t="s">
        <v>2832</v>
      </c>
      <c r="I170" s="50" t="s">
        <v>321</v>
      </c>
      <c r="J170" s="61" t="s">
        <v>4017</v>
      </c>
      <c r="K170" s="61" t="s">
        <v>4018</v>
      </c>
      <c r="L170" s="61" t="s">
        <v>4019</v>
      </c>
      <c r="M170" s="61" t="s">
        <v>4020</v>
      </c>
      <c r="N170" s="61"/>
      <c r="O170" s="61" t="s">
        <v>4021</v>
      </c>
      <c r="P170" s="61" t="s">
        <v>4022</v>
      </c>
      <c r="Q170" s="61" t="s">
        <v>4023</v>
      </c>
      <c r="R170" s="61" t="s">
        <v>4024</v>
      </c>
      <c r="S170" s="61" t="s">
        <v>4025</v>
      </c>
      <c r="T170" s="61" t="s">
        <v>4026</v>
      </c>
      <c r="U170" s="61" t="s">
        <v>4027</v>
      </c>
      <c r="V170" s="62" t="s">
        <v>4028</v>
      </c>
      <c r="W170" s="61" t="s">
        <v>4029</v>
      </c>
      <c r="X170" s="61" t="s">
        <v>4030</v>
      </c>
      <c r="Y170" s="61" t="s">
        <v>4031</v>
      </c>
      <c r="Z170" s="61" t="s">
        <v>4032</v>
      </c>
      <c r="AA170" s="75" t="s">
        <v>4033</v>
      </c>
      <c r="AB170" s="63" t="s">
        <v>4034</v>
      </c>
    </row>
    <row r="171" spans="1:28" x14ac:dyDescent="0.25">
      <c r="A171" s="21" t="s">
        <v>319</v>
      </c>
      <c r="B171" s="9" t="str">
        <f t="shared" si="15"/>
        <v>Zurückgebracht</v>
      </c>
      <c r="D171" s="60" t="s">
        <v>2833</v>
      </c>
      <c r="E171" s="61" t="s">
        <v>2834</v>
      </c>
      <c r="F171" s="62" t="s">
        <v>2835</v>
      </c>
      <c r="G171" s="62" t="s">
        <v>2836</v>
      </c>
      <c r="H171" s="61" t="s">
        <v>2837</v>
      </c>
      <c r="I171" s="50" t="s">
        <v>322</v>
      </c>
      <c r="J171" s="61" t="s">
        <v>4035</v>
      </c>
      <c r="K171" s="61" t="s">
        <v>4036</v>
      </c>
      <c r="L171" s="61" t="s">
        <v>4037</v>
      </c>
      <c r="M171" s="61" t="s">
        <v>4038</v>
      </c>
      <c r="N171" s="61"/>
      <c r="O171" s="61" t="s">
        <v>4039</v>
      </c>
      <c r="P171" s="61" t="s">
        <v>4040</v>
      </c>
      <c r="Q171" s="61" t="s">
        <v>4041</v>
      </c>
      <c r="R171" s="61" t="s">
        <v>4042</v>
      </c>
      <c r="S171" s="61" t="s">
        <v>4043</v>
      </c>
      <c r="T171" s="61" t="s">
        <v>4044</v>
      </c>
      <c r="U171" s="61" t="s">
        <v>4045</v>
      </c>
      <c r="V171" s="62" t="s">
        <v>4046</v>
      </c>
      <c r="W171" s="61" t="s">
        <v>4047</v>
      </c>
      <c r="X171" s="61" t="s">
        <v>4048</v>
      </c>
      <c r="Y171" s="61" t="s">
        <v>4049</v>
      </c>
      <c r="Z171" s="61" t="s">
        <v>4050</v>
      </c>
      <c r="AA171" s="75" t="s">
        <v>4051</v>
      </c>
      <c r="AB171" s="63" t="s">
        <v>4052</v>
      </c>
    </row>
    <row r="172" spans="1:28" x14ac:dyDescent="0.25">
      <c r="A172" s="21" t="s">
        <v>320</v>
      </c>
      <c r="B172" s="9" t="str">
        <f t="shared" si="15"/>
        <v>Privat untergebracht</v>
      </c>
      <c r="D172" s="60" t="s">
        <v>2838</v>
      </c>
      <c r="E172" s="61" t="s">
        <v>2839</v>
      </c>
      <c r="F172" s="62" t="s">
        <v>2840</v>
      </c>
      <c r="G172" s="62" t="s">
        <v>2841</v>
      </c>
      <c r="H172" s="61" t="s">
        <v>2842</v>
      </c>
      <c r="I172" s="50" t="s">
        <v>323</v>
      </c>
      <c r="J172" s="61" t="s">
        <v>4053</v>
      </c>
      <c r="K172" s="61" t="s">
        <v>4054</v>
      </c>
      <c r="L172" s="61" t="s">
        <v>4055</v>
      </c>
      <c r="M172" s="61" t="s">
        <v>4056</v>
      </c>
      <c r="N172" s="61"/>
      <c r="O172" s="61" t="s">
        <v>4057</v>
      </c>
      <c r="P172" s="61" t="s">
        <v>4058</v>
      </c>
      <c r="Q172" s="61" t="s">
        <v>4059</v>
      </c>
      <c r="R172" s="61" t="s">
        <v>4060</v>
      </c>
      <c r="S172" s="61" t="s">
        <v>4061</v>
      </c>
      <c r="T172" s="61" t="s">
        <v>4062</v>
      </c>
      <c r="U172" s="61" t="s">
        <v>4063</v>
      </c>
      <c r="V172" s="62" t="s">
        <v>4064</v>
      </c>
      <c r="W172" s="61" t="s">
        <v>4053</v>
      </c>
      <c r="X172" s="61" t="s">
        <v>4065</v>
      </c>
      <c r="Y172" s="61" t="s">
        <v>4066</v>
      </c>
      <c r="Z172" s="61" t="s">
        <v>4067</v>
      </c>
      <c r="AA172" s="75" t="s">
        <v>4068</v>
      </c>
      <c r="AB172" s="63" t="s">
        <v>4069</v>
      </c>
    </row>
    <row r="173" spans="1:28" x14ac:dyDescent="0.25">
      <c r="A173" s="21" t="s">
        <v>324</v>
      </c>
      <c r="B173" s="9" t="str">
        <f t="shared" si="15"/>
        <v>Beschreiben Sie die Projektziele (z. B. Erforschung wissenschaftlicher Unbekannter oder Deckung eines wissenschaftlichen oder klinischen Bedarfs).</v>
      </c>
      <c r="D173" s="60" t="s">
        <v>2843</v>
      </c>
      <c r="E173" s="61" t="s">
        <v>2844</v>
      </c>
      <c r="F173" s="62" t="s">
        <v>2845</v>
      </c>
      <c r="G173" s="62" t="s">
        <v>2846</v>
      </c>
      <c r="H173" s="61" t="s">
        <v>2847</v>
      </c>
      <c r="I173" s="50" t="s">
        <v>325</v>
      </c>
      <c r="J173" s="61" t="s">
        <v>4070</v>
      </c>
      <c r="K173" s="61" t="s">
        <v>4071</v>
      </c>
      <c r="L173" s="61" t="s">
        <v>4072</v>
      </c>
      <c r="M173" s="61" t="s">
        <v>4073</v>
      </c>
      <c r="N173" s="61"/>
      <c r="O173" s="61" t="s">
        <v>4074</v>
      </c>
      <c r="P173" s="61" t="s">
        <v>4075</v>
      </c>
      <c r="Q173" s="61" t="s">
        <v>4076</v>
      </c>
      <c r="R173" s="61" t="s">
        <v>4077</v>
      </c>
      <c r="S173" s="61" t="s">
        <v>4078</v>
      </c>
      <c r="T173" s="61" t="s">
        <v>4079</v>
      </c>
      <c r="U173" s="61" t="s">
        <v>4080</v>
      </c>
      <c r="V173" s="62" t="s">
        <v>4081</v>
      </c>
      <c r="W173" s="61" t="s">
        <v>4082</v>
      </c>
      <c r="X173" s="61" t="s">
        <v>4083</v>
      </c>
      <c r="Y173" s="61" t="s">
        <v>4084</v>
      </c>
      <c r="Z173" s="61" t="s">
        <v>4085</v>
      </c>
      <c r="AA173" s="61" t="s">
        <v>4086</v>
      </c>
      <c r="AB173" s="63" t="s">
        <v>4087</v>
      </c>
    </row>
    <row r="174" spans="1:28" x14ac:dyDescent="0.25">
      <c r="A174" s="21" t="s">
        <v>326</v>
      </c>
      <c r="B174" s="9" t="str">
        <f t="shared" si="15"/>
        <v>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v>
      </c>
      <c r="D174" s="60" t="s">
        <v>2848</v>
      </c>
      <c r="E174" s="61" t="s">
        <v>2849</v>
      </c>
      <c r="F174" s="62" t="s">
        <v>2850</v>
      </c>
      <c r="G174" s="62" t="s">
        <v>2851</v>
      </c>
      <c r="H174" s="61" t="s">
        <v>2852</v>
      </c>
      <c r="I174" s="50" t="s">
        <v>327</v>
      </c>
      <c r="J174" s="61" t="s">
        <v>4088</v>
      </c>
      <c r="K174" s="61" t="s">
        <v>4089</v>
      </c>
      <c r="L174" s="61" t="s">
        <v>4090</v>
      </c>
      <c r="M174" s="61" t="s">
        <v>4091</v>
      </c>
      <c r="N174" s="61"/>
      <c r="O174" s="61" t="s">
        <v>4092</v>
      </c>
      <c r="P174" s="61" t="s">
        <v>4093</v>
      </c>
      <c r="Q174" s="62" t="s">
        <v>4094</v>
      </c>
      <c r="R174" s="61" t="s">
        <v>4095</v>
      </c>
      <c r="S174" s="61" t="s">
        <v>4096</v>
      </c>
      <c r="T174" s="61" t="s">
        <v>4097</v>
      </c>
      <c r="U174" s="61" t="s">
        <v>4098</v>
      </c>
      <c r="V174" s="62" t="s">
        <v>4099</v>
      </c>
      <c r="W174" s="61" t="s">
        <v>4100</v>
      </c>
      <c r="X174" s="61" t="s">
        <v>4101</v>
      </c>
      <c r="Y174" s="61" t="s">
        <v>4102</v>
      </c>
      <c r="Z174" s="61" t="s">
        <v>4103</v>
      </c>
      <c r="AA174" s="61" t="s">
        <v>4104</v>
      </c>
      <c r="AB174" s="63" t="s">
        <v>4105</v>
      </c>
    </row>
    <row r="175" spans="1:28" x14ac:dyDescent="0.25">
      <c r="A175" s="21" t="s">
        <v>328</v>
      </c>
      <c r="B175" s="9" t="str">
        <f t="shared" si="15"/>
        <v>Bei welchen Verfahren werden die Tiere üblicherweise verwendet (z. B. Injektionen, chirurgische Eingriffe)? Geben Sie die Anzahl und die Dauer dieser Verfahren an.</v>
      </c>
      <c r="D175" s="60" t="s">
        <v>2853</v>
      </c>
      <c r="E175" s="61" t="s">
        <v>2854</v>
      </c>
      <c r="F175" s="62" t="s">
        <v>2855</v>
      </c>
      <c r="G175" s="62" t="s">
        <v>2856</v>
      </c>
      <c r="H175" s="61" t="s">
        <v>2857</v>
      </c>
      <c r="I175" s="50" t="s">
        <v>329</v>
      </c>
      <c r="J175" s="61" t="s">
        <v>4106</v>
      </c>
      <c r="K175" s="61" t="s">
        <v>4107</v>
      </c>
      <c r="L175" s="61" t="s">
        <v>4108</v>
      </c>
      <c r="M175" s="61" t="s">
        <v>4109</v>
      </c>
      <c r="N175" s="61"/>
      <c r="O175" s="61" t="s">
        <v>4110</v>
      </c>
      <c r="P175" s="61" t="s">
        <v>4111</v>
      </c>
      <c r="Q175" s="61" t="s">
        <v>4112</v>
      </c>
      <c r="R175" s="61" t="s">
        <v>4113</v>
      </c>
      <c r="S175" s="61" t="s">
        <v>4114</v>
      </c>
      <c r="T175" s="61" t="s">
        <v>4115</v>
      </c>
      <c r="U175" s="61" t="s">
        <v>4116</v>
      </c>
      <c r="V175" s="62" t="s">
        <v>4117</v>
      </c>
      <c r="W175" s="61" t="s">
        <v>4118</v>
      </c>
      <c r="X175" s="61" t="s">
        <v>4119</v>
      </c>
      <c r="Y175" s="61" t="s">
        <v>4120</v>
      </c>
      <c r="Z175" s="61" t="s">
        <v>4121</v>
      </c>
      <c r="AA175" s="61" t="s">
        <v>4122</v>
      </c>
      <c r="AB175" s="63" t="s">
        <v>4123</v>
      </c>
    </row>
    <row r="176" spans="1:28" x14ac:dyDescent="0.25">
      <c r="A176" s="21" t="s">
        <v>330</v>
      </c>
      <c r="B176" s="9" t="str">
        <f t="shared" si="15"/>
        <v>Welche Auswirkungen/Schäden sind für die Tiere zu erwarten (z. B. Schmerzen, Gewichtsverlust, Inaktivität/eingeschränkte Mobilität, Stress, ungewöhnliches Verhalten) und wie lange halten diese Auswirkungen an?</v>
      </c>
      <c r="D176" s="60" t="s">
        <v>2858</v>
      </c>
      <c r="E176" s="61" t="s">
        <v>2859</v>
      </c>
      <c r="F176" s="62" t="s">
        <v>2860</v>
      </c>
      <c r="G176" s="62" t="s">
        <v>2861</v>
      </c>
      <c r="H176" s="61" t="s">
        <v>2862</v>
      </c>
      <c r="I176" s="50" t="s">
        <v>331</v>
      </c>
      <c r="J176" s="61" t="s">
        <v>4124</v>
      </c>
      <c r="K176" s="61" t="s">
        <v>4125</v>
      </c>
      <c r="L176" s="61" t="s">
        <v>4126</v>
      </c>
      <c r="M176" s="61" t="s">
        <v>4127</v>
      </c>
      <c r="N176" s="61"/>
      <c r="O176" s="61" t="s">
        <v>4128</v>
      </c>
      <c r="P176" s="61" t="s">
        <v>4129</v>
      </c>
      <c r="Q176" s="61" t="s">
        <v>4130</v>
      </c>
      <c r="R176" s="61" t="s">
        <v>4131</v>
      </c>
      <c r="S176" s="61" t="s">
        <v>4132</v>
      </c>
      <c r="T176" s="61" t="s">
        <v>4133</v>
      </c>
      <c r="U176" s="61" t="s">
        <v>4134</v>
      </c>
      <c r="V176" s="62" t="s">
        <v>4135</v>
      </c>
      <c r="W176" s="61" t="s">
        <v>4136</v>
      </c>
      <c r="X176" s="61" t="s">
        <v>4137</v>
      </c>
      <c r="Y176" s="61" t="s">
        <v>4138</v>
      </c>
      <c r="Z176" s="61" t="s">
        <v>4139</v>
      </c>
      <c r="AA176" s="61" t="s">
        <v>4140</v>
      </c>
      <c r="AB176" s="63" t="s">
        <v>4141</v>
      </c>
    </row>
    <row r="177" spans="1:28" x14ac:dyDescent="0.25">
      <c r="A177" s="21" t="s">
        <v>349</v>
      </c>
      <c r="B177" s="9" t="str">
        <f t="shared" si="15"/>
        <v>Welche Arten sollen verwendet werden und wie hoch ist die Anzahl der zu verwendenden Tiere? Welche Schweregrade werden erwartet und wie hoch ist die Anzahl der Tiere je Schweregrad (nach Art)?</v>
      </c>
      <c r="D177" s="60" t="s">
        <v>2863</v>
      </c>
      <c r="E177" s="61" t="s">
        <v>2864</v>
      </c>
      <c r="F177" s="62" t="s">
        <v>2865</v>
      </c>
      <c r="G177" s="62" t="s">
        <v>2866</v>
      </c>
      <c r="H177" s="61" t="s">
        <v>2867</v>
      </c>
      <c r="I177" s="50" t="s">
        <v>332</v>
      </c>
      <c r="J177" s="61" t="s">
        <v>4142</v>
      </c>
      <c r="K177" s="61" t="s">
        <v>4143</v>
      </c>
      <c r="L177" s="61" t="s">
        <v>4144</v>
      </c>
      <c r="M177" s="61" t="s">
        <v>4145</v>
      </c>
      <c r="N177" s="61"/>
      <c r="O177" s="61" t="s">
        <v>4146</v>
      </c>
      <c r="P177" s="61" t="s">
        <v>4147</v>
      </c>
      <c r="Q177" s="61" t="s">
        <v>4148</v>
      </c>
      <c r="R177" s="61" t="s">
        <v>4149</v>
      </c>
      <c r="S177" s="61" t="s">
        <v>4150</v>
      </c>
      <c r="T177" s="61" t="s">
        <v>4151</v>
      </c>
      <c r="U177" s="61" t="s">
        <v>4152</v>
      </c>
      <c r="V177" s="62" t="s">
        <v>4153</v>
      </c>
      <c r="W177" s="61" t="s">
        <v>4154</v>
      </c>
      <c r="X177" s="61" t="s">
        <v>4155</v>
      </c>
      <c r="Y177" s="61" t="s">
        <v>4156</v>
      </c>
      <c r="Z177" s="61" t="s">
        <v>4157</v>
      </c>
      <c r="AA177" s="61" t="s">
        <v>4158</v>
      </c>
      <c r="AB177" s="63" t="s">
        <v>4159</v>
      </c>
    </row>
    <row r="178" spans="1:28" x14ac:dyDescent="0.25">
      <c r="A178" s="21" t="s">
        <v>333</v>
      </c>
      <c r="B178" s="9" t="str">
        <f t="shared" si="15"/>
        <v>Was geschieht mit den am Leben bleibenden Tieren am Ende des Verfahrens?</v>
      </c>
      <c r="D178" s="60" t="s">
        <v>2868</v>
      </c>
      <c r="E178" s="61" t="s">
        <v>2869</v>
      </c>
      <c r="F178" s="62" t="s">
        <v>2870</v>
      </c>
      <c r="G178" s="62" t="s">
        <v>2871</v>
      </c>
      <c r="H178" s="61" t="s">
        <v>2872</v>
      </c>
      <c r="I178" s="50" t="s">
        <v>334</v>
      </c>
      <c r="J178" s="61" t="s">
        <v>4160</v>
      </c>
      <c r="K178" s="61" t="s">
        <v>4161</v>
      </c>
      <c r="L178" s="61" t="s">
        <v>4162</v>
      </c>
      <c r="M178" s="61" t="s">
        <v>4163</v>
      </c>
      <c r="N178" s="61"/>
      <c r="O178" s="61" t="s">
        <v>4164</v>
      </c>
      <c r="P178" s="61" t="s">
        <v>4165</v>
      </c>
      <c r="Q178" s="61" t="s">
        <v>4166</v>
      </c>
      <c r="R178" s="61" t="s">
        <v>4167</v>
      </c>
      <c r="S178" s="61" t="s">
        <v>4168</v>
      </c>
      <c r="T178" s="61" t="s">
        <v>4169</v>
      </c>
      <c r="U178" s="61" t="s">
        <v>4170</v>
      </c>
      <c r="V178" s="62" t="s">
        <v>4171</v>
      </c>
      <c r="W178" s="61" t="s">
        <v>4172</v>
      </c>
      <c r="X178" s="61" t="s">
        <v>4173</v>
      </c>
      <c r="Y178" s="61" t="s">
        <v>4174</v>
      </c>
      <c r="Z178" s="61" t="s">
        <v>4175</v>
      </c>
      <c r="AA178" s="61" t="s">
        <v>4176</v>
      </c>
      <c r="AB178" s="63" t="s">
        <v>4177</v>
      </c>
    </row>
    <row r="179" spans="1:28" x14ac:dyDescent="0.25">
      <c r="A179" s="21" t="s">
        <v>335</v>
      </c>
      <c r="B179" s="9" t="str">
        <f t="shared" si="15"/>
        <v>Begründen Sie den geplanten Verbleib der Tiere nach Abschluss des Verfahrens.</v>
      </c>
      <c r="D179" s="60" t="s">
        <v>2873</v>
      </c>
      <c r="E179" s="61" t="s">
        <v>2874</v>
      </c>
      <c r="F179" s="62" t="s">
        <v>2875</v>
      </c>
      <c r="G179" s="62" t="s">
        <v>2876</v>
      </c>
      <c r="H179" s="61" t="s">
        <v>2877</v>
      </c>
      <c r="I179" s="50" t="s">
        <v>336</v>
      </c>
      <c r="J179" s="61" t="s">
        <v>4178</v>
      </c>
      <c r="K179" s="61" t="s">
        <v>4179</v>
      </c>
      <c r="L179" s="61" t="s">
        <v>4180</v>
      </c>
      <c r="M179" s="61" t="s">
        <v>4181</v>
      </c>
      <c r="N179" s="61"/>
      <c r="O179" s="61" t="s">
        <v>4182</v>
      </c>
      <c r="P179" s="61" t="s">
        <v>3528</v>
      </c>
      <c r="Q179" s="61" t="s">
        <v>4183</v>
      </c>
      <c r="R179" s="61" t="s">
        <v>4184</v>
      </c>
      <c r="S179" s="61" t="s">
        <v>4185</v>
      </c>
      <c r="T179" s="61" t="s">
        <v>4186</v>
      </c>
      <c r="U179" s="61" t="s">
        <v>4187</v>
      </c>
      <c r="V179" s="62" t="s">
        <v>4188</v>
      </c>
      <c r="W179" s="61" t="s">
        <v>4189</v>
      </c>
      <c r="X179" s="61" t="s">
        <v>4190</v>
      </c>
      <c r="Y179" s="61" t="s">
        <v>4191</v>
      </c>
      <c r="Z179" s="61" t="s">
        <v>4192</v>
      </c>
      <c r="AA179" s="61" t="s">
        <v>4193</v>
      </c>
      <c r="AB179" s="63" t="s">
        <v>4194</v>
      </c>
    </row>
    <row r="180" spans="1:28" x14ac:dyDescent="0.25">
      <c r="A180" s="21" t="s">
        <v>337</v>
      </c>
      <c r="B180" s="9" t="str">
        <f t="shared" si="15"/>
        <v>Geben Sie an, welche tierversuchsfreien Alternativen in diesem Bereich verfügbar sind und warum sie nicht für die Zwecke des Projekts angewendet werden können.</v>
      </c>
      <c r="D180" s="60" t="s">
        <v>2878</v>
      </c>
      <c r="E180" s="61" t="s">
        <v>2879</v>
      </c>
      <c r="F180" s="62" t="s">
        <v>2880</v>
      </c>
      <c r="G180" s="62" t="s">
        <v>2881</v>
      </c>
      <c r="H180" s="61" t="s">
        <v>2882</v>
      </c>
      <c r="I180" s="50" t="s">
        <v>338</v>
      </c>
      <c r="J180" s="61" t="s">
        <v>4195</v>
      </c>
      <c r="K180" s="61" t="s">
        <v>4196</v>
      </c>
      <c r="L180" s="61" t="s">
        <v>4197</v>
      </c>
      <c r="M180" s="61" t="s">
        <v>4198</v>
      </c>
      <c r="N180" s="61"/>
      <c r="O180" s="61" t="s">
        <v>4199</v>
      </c>
      <c r="P180" s="61" t="s">
        <v>4200</v>
      </c>
      <c r="Q180" s="61" t="s">
        <v>4201</v>
      </c>
      <c r="R180" s="61" t="s">
        <v>4202</v>
      </c>
      <c r="S180" s="61" t="s">
        <v>4203</v>
      </c>
      <c r="T180" s="61" t="s">
        <v>4204</v>
      </c>
      <c r="U180" s="61" t="s">
        <v>4205</v>
      </c>
      <c r="V180" s="62" t="s">
        <v>4206</v>
      </c>
      <c r="W180" s="61" t="s">
        <v>4207</v>
      </c>
      <c r="X180" s="61" t="s">
        <v>4208</v>
      </c>
      <c r="Y180" s="61" t="s">
        <v>4209</v>
      </c>
      <c r="Z180" s="61" t="s">
        <v>4210</v>
      </c>
      <c r="AA180" s="61" t="s">
        <v>4211</v>
      </c>
      <c r="AB180" s="63" t="s">
        <v>4212</v>
      </c>
    </row>
    <row r="181" spans="1:28" x14ac:dyDescent="0.25">
      <c r="A181" s="21" t="s">
        <v>339</v>
      </c>
      <c r="B181" s="9" t="str">
        <f t="shared" si="15"/>
        <v>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v>
      </c>
      <c r="D181" s="60" t="s">
        <v>2883</v>
      </c>
      <c r="E181" s="61" t="s">
        <v>2884</v>
      </c>
      <c r="F181" s="62" t="s">
        <v>2885</v>
      </c>
      <c r="G181" s="62" t="s">
        <v>2886</v>
      </c>
      <c r="H181" s="61" t="s">
        <v>2887</v>
      </c>
      <c r="I181" s="50" t="s">
        <v>340</v>
      </c>
      <c r="J181" s="61" t="s">
        <v>4213</v>
      </c>
      <c r="K181" s="61" t="s">
        <v>4214</v>
      </c>
      <c r="L181" s="61" t="s">
        <v>4215</v>
      </c>
      <c r="M181" s="61" t="s">
        <v>4216</v>
      </c>
      <c r="N181" s="61"/>
      <c r="O181" s="61" t="s">
        <v>4217</v>
      </c>
      <c r="P181" s="61" t="s">
        <v>4218</v>
      </c>
      <c r="Q181" s="62" t="s">
        <v>4219</v>
      </c>
      <c r="R181" s="61" t="s">
        <v>4220</v>
      </c>
      <c r="S181" s="61" t="s">
        <v>4221</v>
      </c>
      <c r="T181" s="61" t="s">
        <v>4222</v>
      </c>
      <c r="U181" s="61" t="s">
        <v>4223</v>
      </c>
      <c r="V181" s="62" t="s">
        <v>4224</v>
      </c>
      <c r="W181" s="61" t="s">
        <v>4225</v>
      </c>
      <c r="X181" s="61" t="s">
        <v>4226</v>
      </c>
      <c r="Y181" s="61" t="s">
        <v>4227</v>
      </c>
      <c r="Z181" s="61" t="s">
        <v>4228</v>
      </c>
      <c r="AA181" s="61" t="s">
        <v>4229</v>
      </c>
      <c r="AB181" s="63" t="s">
        <v>4230</v>
      </c>
    </row>
    <row r="182" spans="1:28" x14ac:dyDescent="0.25">
      <c r="A182" s="21" t="s">
        <v>341</v>
      </c>
      <c r="B182" s="9" t="str">
        <f t="shared" si="15"/>
        <v>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v>
      </c>
      <c r="D182" s="60" t="s">
        <v>2888</v>
      </c>
      <c r="E182" s="61" t="s">
        <v>2889</v>
      </c>
      <c r="F182" s="62" t="s">
        <v>2890</v>
      </c>
      <c r="G182" s="62" t="s">
        <v>2891</v>
      </c>
      <c r="H182" s="61" t="s">
        <v>2892</v>
      </c>
      <c r="I182" s="50" t="s">
        <v>342</v>
      </c>
      <c r="J182" s="61" t="s">
        <v>4231</v>
      </c>
      <c r="K182" s="61" t="s">
        <v>4232</v>
      </c>
      <c r="L182" s="61" t="s">
        <v>4233</v>
      </c>
      <c r="M182" s="61" t="s">
        <v>4234</v>
      </c>
      <c r="N182" s="61"/>
      <c r="O182" s="61" t="s">
        <v>4235</v>
      </c>
      <c r="P182" s="61" t="s">
        <v>4236</v>
      </c>
      <c r="Q182" s="62" t="s">
        <v>4237</v>
      </c>
      <c r="R182" s="61" t="s">
        <v>4238</v>
      </c>
      <c r="S182" s="61" t="s">
        <v>4239</v>
      </c>
      <c r="T182" s="61" t="s">
        <v>4240</v>
      </c>
      <c r="U182" s="61" t="s">
        <v>4241</v>
      </c>
      <c r="V182" s="62" t="s">
        <v>4242</v>
      </c>
      <c r="W182" s="61" t="s">
        <v>4243</v>
      </c>
      <c r="X182" s="61" t="s">
        <v>4244</v>
      </c>
      <c r="Y182" s="61" t="s">
        <v>4245</v>
      </c>
      <c r="Z182" s="61" t="s">
        <v>4246</v>
      </c>
      <c r="AA182" s="61" t="s">
        <v>4247</v>
      </c>
      <c r="AB182" s="63" t="s">
        <v>4248</v>
      </c>
    </row>
    <row r="183" spans="1:28" x14ac:dyDescent="0.25">
      <c r="A183" s="21" t="s">
        <v>343</v>
      </c>
      <c r="B183" s="9" t="str">
        <f t="shared" si="15"/>
        <v>Geschätzte Anzahl je Schweregrad</v>
      </c>
      <c r="D183" s="60" t="s">
        <v>2893</v>
      </c>
      <c r="E183" s="61" t="s">
        <v>2894</v>
      </c>
      <c r="F183" s="62" t="s">
        <v>2895</v>
      </c>
      <c r="G183" s="62" t="s">
        <v>2896</v>
      </c>
      <c r="H183" s="61" t="s">
        <v>2897</v>
      </c>
      <c r="I183" s="50" t="s">
        <v>344</v>
      </c>
      <c r="J183" s="61" t="s">
        <v>4249</v>
      </c>
      <c r="K183" s="61" t="s">
        <v>4250</v>
      </c>
      <c r="L183" s="61" t="s">
        <v>4251</v>
      </c>
      <c r="M183" s="61" t="s">
        <v>4252</v>
      </c>
      <c r="N183" s="61"/>
      <c r="O183" s="61" t="s">
        <v>4253</v>
      </c>
      <c r="P183" s="61" t="s">
        <v>4254</v>
      </c>
      <c r="Q183" s="61" t="s">
        <v>4255</v>
      </c>
      <c r="R183" s="61" t="s">
        <v>4256</v>
      </c>
      <c r="S183" s="61" t="s">
        <v>4257</v>
      </c>
      <c r="T183" s="61" t="s">
        <v>4258</v>
      </c>
      <c r="U183" s="61" t="s">
        <v>4259</v>
      </c>
      <c r="V183" s="62" t="s">
        <v>4260</v>
      </c>
      <c r="W183" s="61" t="s">
        <v>4261</v>
      </c>
      <c r="X183" s="61" t="s">
        <v>4262</v>
      </c>
      <c r="Y183" s="61" t="s">
        <v>4263</v>
      </c>
      <c r="Z183" s="61" t="s">
        <v>4264</v>
      </c>
      <c r="AA183" s="61" t="s">
        <v>4265</v>
      </c>
      <c r="AB183" s="63" t="s">
        <v>4266</v>
      </c>
    </row>
    <row r="184" spans="1:28" x14ac:dyDescent="0.25">
      <c r="A184" s="21" t="s">
        <v>346</v>
      </c>
      <c r="B184" s="9" t="str">
        <f t="shared" si="15"/>
        <v>Geschätzte Anzahl der Tiere, die erneut verwendet, in den Lebensraum/das Haltungssystem zurückgebracht oder privat untergebracht werden.</v>
      </c>
      <c r="D184" s="60" t="s">
        <v>2898</v>
      </c>
      <c r="E184" s="61" t="s">
        <v>2899</v>
      </c>
      <c r="F184" s="62" t="s">
        <v>2900</v>
      </c>
      <c r="G184" s="62" t="s">
        <v>2901</v>
      </c>
      <c r="H184" s="61" t="s">
        <v>2902</v>
      </c>
      <c r="I184" s="50" t="s">
        <v>345</v>
      </c>
      <c r="J184" s="61" t="s">
        <v>4267</v>
      </c>
      <c r="K184" s="61" t="s">
        <v>4268</v>
      </c>
      <c r="L184" s="61" t="s">
        <v>4269</v>
      </c>
      <c r="M184" s="61" t="s">
        <v>4270</v>
      </c>
      <c r="N184" s="61"/>
      <c r="O184" s="61" t="s">
        <v>4271</v>
      </c>
      <c r="P184" s="61" t="s">
        <v>4272</v>
      </c>
      <c r="Q184" s="61" t="s">
        <v>4273</v>
      </c>
      <c r="R184" s="61" t="s">
        <v>4274</v>
      </c>
      <c r="S184" s="61" t="s">
        <v>4275</v>
      </c>
      <c r="T184" s="61" t="s">
        <v>4276</v>
      </c>
      <c r="U184" s="61" t="s">
        <v>4277</v>
      </c>
      <c r="V184" s="62" t="s">
        <v>4278</v>
      </c>
      <c r="W184" s="61" t="s">
        <v>4279</v>
      </c>
      <c r="X184" s="61" t="s">
        <v>4280</v>
      </c>
      <c r="Y184" s="61" t="s">
        <v>4281</v>
      </c>
      <c r="Z184" s="61" t="s">
        <v>4282</v>
      </c>
      <c r="AA184" s="61" t="s">
        <v>4283</v>
      </c>
      <c r="AB184" s="63" t="s">
        <v>4284</v>
      </c>
    </row>
    <row r="185" spans="1:28" x14ac:dyDescent="0.25">
      <c r="A185" s="21" t="s">
        <v>350</v>
      </c>
      <c r="B185" s="9" t="str">
        <f t="shared" si="14"/>
        <v>Pflichtfeld</v>
      </c>
      <c r="D185" s="60" t="s">
        <v>2903</v>
      </c>
      <c r="E185" s="61" t="s">
        <v>2904</v>
      </c>
      <c r="F185" s="62" t="s">
        <v>2905</v>
      </c>
      <c r="G185" s="62" t="s">
        <v>2906</v>
      </c>
      <c r="H185" s="61" t="s">
        <v>2907</v>
      </c>
      <c r="I185" s="50" t="s">
        <v>555</v>
      </c>
      <c r="J185" s="61" t="s">
        <v>4285</v>
      </c>
      <c r="K185" s="61" t="s">
        <v>4286</v>
      </c>
      <c r="L185" s="61" t="s">
        <v>4287</v>
      </c>
      <c r="M185" s="61" t="s">
        <v>4288</v>
      </c>
      <c r="N185" s="61"/>
      <c r="O185" s="61" t="s">
        <v>4289</v>
      </c>
      <c r="P185" s="61" t="s">
        <v>4290</v>
      </c>
      <c r="Q185" s="61" t="s">
        <v>4291</v>
      </c>
      <c r="R185" s="61" t="s">
        <v>4292</v>
      </c>
      <c r="S185" s="61" t="s">
        <v>4293</v>
      </c>
      <c r="T185" s="61" t="s">
        <v>4294</v>
      </c>
      <c r="U185" s="61" t="s">
        <v>4295</v>
      </c>
      <c r="V185" s="62" t="s">
        <v>4296</v>
      </c>
      <c r="W185" s="61" t="s">
        <v>4297</v>
      </c>
      <c r="X185" s="61" t="s">
        <v>4298</v>
      </c>
      <c r="Y185" s="61" t="s">
        <v>4299</v>
      </c>
      <c r="Z185" s="61" t="s">
        <v>4289</v>
      </c>
      <c r="AA185" s="61" t="s">
        <v>4300</v>
      </c>
      <c r="AB185" s="63" t="s">
        <v>4301</v>
      </c>
    </row>
    <row r="186" spans="1:28" x14ac:dyDescent="0.25">
      <c r="A186" s="21" t="s">
        <v>499</v>
      </c>
      <c r="B186" s="9" t="str">
        <f t="shared" si="14"/>
        <v>Gilt für die Mitgliedstaaten, in denen die Angabe dieser Informationen gesetzlich vorgeschrieben ist.</v>
      </c>
      <c r="D186" s="60" t="s">
        <v>2908</v>
      </c>
      <c r="E186" s="61" t="s">
        <v>2909</v>
      </c>
      <c r="F186" s="62" t="s">
        <v>2910</v>
      </c>
      <c r="G186" s="62" t="s">
        <v>2911</v>
      </c>
      <c r="H186" s="61" t="s">
        <v>2912</v>
      </c>
      <c r="I186" s="50" t="s">
        <v>562</v>
      </c>
      <c r="J186" s="61" t="s">
        <v>4302</v>
      </c>
      <c r="K186" s="61" t="s">
        <v>4303</v>
      </c>
      <c r="L186" s="61" t="s">
        <v>4304</v>
      </c>
      <c r="M186" s="61" t="s">
        <v>4305</v>
      </c>
      <c r="N186" s="61"/>
      <c r="O186" s="61" t="s">
        <v>4306</v>
      </c>
      <c r="P186" s="61" t="s">
        <v>4307</v>
      </c>
      <c r="Q186" s="61" t="s">
        <v>4308</v>
      </c>
      <c r="R186" s="61" t="s">
        <v>4309</v>
      </c>
      <c r="S186" s="61" t="s">
        <v>4310</v>
      </c>
      <c r="T186" s="61" t="s">
        <v>4311</v>
      </c>
      <c r="U186" s="61" t="s">
        <v>4312</v>
      </c>
      <c r="V186" s="62" t="s">
        <v>4313</v>
      </c>
      <c r="W186" s="61" t="s">
        <v>4314</v>
      </c>
      <c r="X186" s="61" t="s">
        <v>4315</v>
      </c>
      <c r="Y186" s="61" t="s">
        <v>4316</v>
      </c>
      <c r="Z186" s="61" t="s">
        <v>4317</v>
      </c>
      <c r="AA186" s="61" t="s">
        <v>4318</v>
      </c>
      <c r="AB186" s="63" t="s">
        <v>4319</v>
      </c>
    </row>
    <row r="187" spans="1:28" x14ac:dyDescent="0.25">
      <c r="A187" s="21" t="s">
        <v>351</v>
      </c>
      <c r="B187" s="9" t="str">
        <f t="shared" si="14"/>
        <v>Maximale Länge 100 Zeichen.</v>
      </c>
      <c r="D187" s="60" t="s">
        <v>2913</v>
      </c>
      <c r="E187" s="61" t="s">
        <v>2914</v>
      </c>
      <c r="F187" s="62" t="s">
        <v>2915</v>
      </c>
      <c r="G187" s="62" t="s">
        <v>2916</v>
      </c>
      <c r="H187" s="61" t="s">
        <v>2917</v>
      </c>
      <c r="I187" s="50" t="s">
        <v>352</v>
      </c>
      <c r="J187" s="61" t="s">
        <v>4320</v>
      </c>
      <c r="K187" s="61" t="s">
        <v>4321</v>
      </c>
      <c r="L187" s="61" t="s">
        <v>4322</v>
      </c>
      <c r="M187" s="61" t="s">
        <v>4323</v>
      </c>
      <c r="N187" s="61"/>
      <c r="O187" s="61" t="s">
        <v>4324</v>
      </c>
      <c r="P187" s="61" t="s">
        <v>4325</v>
      </c>
      <c r="Q187" s="61" t="s">
        <v>4326</v>
      </c>
      <c r="R187" s="61" t="s">
        <v>4327</v>
      </c>
      <c r="S187" s="61" t="s">
        <v>4328</v>
      </c>
      <c r="T187" s="61" t="s">
        <v>4329</v>
      </c>
      <c r="U187" s="61" t="s">
        <v>4330</v>
      </c>
      <c r="V187" s="62" t="s">
        <v>4331</v>
      </c>
      <c r="W187" s="61" t="s">
        <v>4332</v>
      </c>
      <c r="X187" s="61" t="s">
        <v>4333</v>
      </c>
      <c r="Y187" s="61" t="s">
        <v>4334</v>
      </c>
      <c r="Z187" s="61" t="s">
        <v>4335</v>
      </c>
      <c r="AA187" s="61" t="s">
        <v>4336</v>
      </c>
      <c r="AB187" s="63" t="s">
        <v>4337</v>
      </c>
    </row>
    <row r="188" spans="1:28" x14ac:dyDescent="0.25">
      <c r="A188" s="21" t="s">
        <v>360</v>
      </c>
      <c r="B188" s="9" t="str">
        <f t="shared" si="14"/>
        <v>Projektdauer in Monaten</v>
      </c>
      <c r="D188" s="60" t="s">
        <v>2918</v>
      </c>
      <c r="E188" s="61" t="s">
        <v>2919</v>
      </c>
      <c r="F188" s="62" t="s">
        <v>2920</v>
      </c>
      <c r="G188" s="116" t="s">
        <v>2921</v>
      </c>
      <c r="H188" s="61" t="s">
        <v>2922</v>
      </c>
      <c r="I188" s="50" t="s">
        <v>362</v>
      </c>
      <c r="J188" s="61" t="s">
        <v>4338</v>
      </c>
      <c r="K188" s="61" t="s">
        <v>4339</v>
      </c>
      <c r="L188" s="61" t="s">
        <v>4340</v>
      </c>
      <c r="M188" s="61" t="s">
        <v>4341</v>
      </c>
      <c r="N188" s="61"/>
      <c r="O188" s="61" t="s">
        <v>4342</v>
      </c>
      <c r="P188" s="61" t="s">
        <v>4343</v>
      </c>
      <c r="Q188" s="61" t="s">
        <v>4344</v>
      </c>
      <c r="R188" s="61" t="s">
        <v>4345</v>
      </c>
      <c r="S188" s="61" t="s">
        <v>4346</v>
      </c>
      <c r="T188" s="61" t="s">
        <v>4347</v>
      </c>
      <c r="U188" s="61" t="s">
        <v>4348</v>
      </c>
      <c r="V188" s="62" t="s">
        <v>4349</v>
      </c>
      <c r="W188" s="61" t="s">
        <v>4350</v>
      </c>
      <c r="X188" s="61" t="s">
        <v>4351</v>
      </c>
      <c r="Y188" s="61" t="s">
        <v>4352</v>
      </c>
      <c r="Z188" s="61" t="s">
        <v>4353</v>
      </c>
      <c r="AA188" s="61" t="s">
        <v>4354</v>
      </c>
      <c r="AB188" s="63" t="s">
        <v>4355</v>
      </c>
    </row>
    <row r="189" spans="1:28" x14ac:dyDescent="0.25">
      <c r="A189" s="21" t="s">
        <v>361</v>
      </c>
      <c r="B189" s="9" t="str">
        <f t="shared" si="14"/>
        <v>Muss eine ganze Zahl zwischen 1 und 60 sein.</v>
      </c>
      <c r="D189" s="60" t="s">
        <v>2923</v>
      </c>
      <c r="E189" s="61" t="s">
        <v>2924</v>
      </c>
      <c r="F189" s="62" t="s">
        <v>2925</v>
      </c>
      <c r="G189" s="62" t="s">
        <v>2926</v>
      </c>
      <c r="H189" s="61" t="s">
        <v>2927</v>
      </c>
      <c r="I189" s="50" t="s">
        <v>507</v>
      </c>
      <c r="J189" s="61" t="s">
        <v>4356</v>
      </c>
      <c r="K189" s="61" t="s">
        <v>4357</v>
      </c>
      <c r="L189" s="61" t="s">
        <v>4358</v>
      </c>
      <c r="M189" s="61" t="s">
        <v>4359</v>
      </c>
      <c r="N189" s="61"/>
      <c r="O189" s="61" t="s">
        <v>4360</v>
      </c>
      <c r="P189" s="61" t="s">
        <v>4361</v>
      </c>
      <c r="Q189" s="61" t="s">
        <v>4362</v>
      </c>
      <c r="R189" s="61" t="s">
        <v>4363</v>
      </c>
      <c r="S189" s="61" t="s">
        <v>4364</v>
      </c>
      <c r="T189" s="61" t="s">
        <v>4365</v>
      </c>
      <c r="U189" s="61" t="s">
        <v>4366</v>
      </c>
      <c r="V189" s="62" t="s">
        <v>4367</v>
      </c>
      <c r="W189" s="61" t="s">
        <v>4368</v>
      </c>
      <c r="X189" s="61" t="s">
        <v>4369</v>
      </c>
      <c r="Y189" s="61" t="s">
        <v>4370</v>
      </c>
      <c r="Z189" s="61" t="s">
        <v>4371</v>
      </c>
      <c r="AA189" s="61" t="s">
        <v>4372</v>
      </c>
      <c r="AB189" s="63" t="s">
        <v>4373</v>
      </c>
    </row>
    <row r="190" spans="1:28" x14ac:dyDescent="0.25">
      <c r="A190" s="21" t="s">
        <v>353</v>
      </c>
      <c r="B190" s="9" t="str">
        <f t="shared" si="14"/>
        <v>Maximale Länge 50 Zeichen einschl. Leerzeichen.</v>
      </c>
      <c r="D190" s="60" t="s">
        <v>2928</v>
      </c>
      <c r="E190" s="61" t="s">
        <v>2929</v>
      </c>
      <c r="F190" s="62" t="s">
        <v>2930</v>
      </c>
      <c r="G190" s="62" t="s">
        <v>2931</v>
      </c>
      <c r="H190" s="61" t="s">
        <v>2932</v>
      </c>
      <c r="I190" s="50" t="s">
        <v>500</v>
      </c>
      <c r="J190" s="61" t="s">
        <v>4374</v>
      </c>
      <c r="K190" s="61" t="s">
        <v>4375</v>
      </c>
      <c r="L190" s="61" t="s">
        <v>4376</v>
      </c>
      <c r="M190" s="61" t="s">
        <v>4377</v>
      </c>
      <c r="N190" s="61"/>
      <c r="O190" s="61" t="s">
        <v>4378</v>
      </c>
      <c r="P190" s="61" t="s">
        <v>4379</v>
      </c>
      <c r="Q190" s="61" t="s">
        <v>4380</v>
      </c>
      <c r="R190" s="61" t="s">
        <v>4381</v>
      </c>
      <c r="S190" s="61" t="s">
        <v>4382</v>
      </c>
      <c r="T190" s="61" t="s">
        <v>4383</v>
      </c>
      <c r="U190" s="61" t="s">
        <v>4384</v>
      </c>
      <c r="V190" s="62" t="s">
        <v>4385</v>
      </c>
      <c r="W190" s="61" t="s">
        <v>4386</v>
      </c>
      <c r="X190" s="61" t="s">
        <v>4387</v>
      </c>
      <c r="Y190" s="61" t="s">
        <v>4388</v>
      </c>
      <c r="Z190" s="61" t="s">
        <v>4389</v>
      </c>
      <c r="AA190" s="61" t="s">
        <v>4390</v>
      </c>
      <c r="AB190" s="63" t="s">
        <v>4391</v>
      </c>
    </row>
    <row r="191" spans="1:28" x14ac:dyDescent="0.25">
      <c r="A191" s="21" t="s">
        <v>356</v>
      </c>
      <c r="B191" s="9" t="str">
        <f t="shared" si="14"/>
        <v>Maximale Länge 2500 Zeichen.</v>
      </c>
      <c r="D191" s="60" t="s">
        <v>2933</v>
      </c>
      <c r="E191" s="61" t="s">
        <v>2934</v>
      </c>
      <c r="F191" s="62" t="s">
        <v>2935</v>
      </c>
      <c r="G191" s="62" t="s">
        <v>2936</v>
      </c>
      <c r="H191" s="61" t="s">
        <v>2937</v>
      </c>
      <c r="I191" s="50" t="s">
        <v>357</v>
      </c>
      <c r="J191" s="61" t="s">
        <v>4392</v>
      </c>
      <c r="K191" s="61" t="s">
        <v>4393</v>
      </c>
      <c r="L191" s="61" t="s">
        <v>4394</v>
      </c>
      <c r="M191" s="61" t="s">
        <v>4395</v>
      </c>
      <c r="N191" s="61"/>
      <c r="O191" s="61" t="s">
        <v>4396</v>
      </c>
      <c r="P191" s="61" t="s">
        <v>4397</v>
      </c>
      <c r="Q191" s="61" t="s">
        <v>4398</v>
      </c>
      <c r="R191" s="61" t="s">
        <v>4399</v>
      </c>
      <c r="S191" s="61" t="s">
        <v>4400</v>
      </c>
      <c r="T191" s="61" t="s">
        <v>4401</v>
      </c>
      <c r="U191" s="61" t="s">
        <v>4402</v>
      </c>
      <c r="V191" s="62" t="s">
        <v>4403</v>
      </c>
      <c r="W191" s="61" t="s">
        <v>4404</v>
      </c>
      <c r="X191" s="61" t="s">
        <v>4405</v>
      </c>
      <c r="Y191" s="61" t="s">
        <v>4406</v>
      </c>
      <c r="Z191" s="61" t="s">
        <v>4407</v>
      </c>
      <c r="AA191" s="61" t="s">
        <v>4408</v>
      </c>
      <c r="AB191" s="63" t="s">
        <v>4409</v>
      </c>
    </row>
    <row r="192" spans="1:28" x14ac:dyDescent="0.25">
      <c r="A192" s="21" t="s">
        <v>358</v>
      </c>
      <c r="B192" s="9" t="str">
        <f t="shared" si="14"/>
        <v>Maximale Länge 500 Zeichen.</v>
      </c>
      <c r="D192" s="60" t="s">
        <v>2938</v>
      </c>
      <c r="E192" s="61" t="s">
        <v>2939</v>
      </c>
      <c r="F192" s="62" t="s">
        <v>2940</v>
      </c>
      <c r="G192" s="62" t="s">
        <v>2941</v>
      </c>
      <c r="H192" s="61" t="s">
        <v>2942</v>
      </c>
      <c r="I192" s="50" t="s">
        <v>359</v>
      </c>
      <c r="J192" s="61" t="s">
        <v>4410</v>
      </c>
      <c r="K192" s="61" t="s">
        <v>4411</v>
      </c>
      <c r="L192" s="61" t="s">
        <v>4412</v>
      </c>
      <c r="M192" s="61" t="s">
        <v>4413</v>
      </c>
      <c r="N192" s="61"/>
      <c r="O192" s="61" t="s">
        <v>4414</v>
      </c>
      <c r="P192" s="61" t="s">
        <v>4415</v>
      </c>
      <c r="Q192" s="61" t="s">
        <v>4416</v>
      </c>
      <c r="R192" s="61" t="s">
        <v>4417</v>
      </c>
      <c r="S192" s="61" t="s">
        <v>4418</v>
      </c>
      <c r="T192" s="61" t="s">
        <v>4419</v>
      </c>
      <c r="U192" s="61" t="s">
        <v>4420</v>
      </c>
      <c r="V192" s="62" t="s">
        <v>4421</v>
      </c>
      <c r="W192" s="61" t="s">
        <v>4422</v>
      </c>
      <c r="X192" s="61" t="s">
        <v>4423</v>
      </c>
      <c r="Y192" s="61" t="s">
        <v>4424</v>
      </c>
      <c r="Z192" s="61" t="s">
        <v>4425</v>
      </c>
      <c r="AA192" s="61" t="s">
        <v>4426</v>
      </c>
      <c r="AB192" s="63" t="s">
        <v>4427</v>
      </c>
    </row>
    <row r="193" spans="1:28" x14ac:dyDescent="0.25">
      <c r="A193" s="21" t="s">
        <v>365</v>
      </c>
      <c r="B193" s="9" t="str">
        <f t="shared" si="14"/>
        <v>Nationale Kennung der NTP</v>
      </c>
      <c r="D193" s="60" t="s">
        <v>2943</v>
      </c>
      <c r="E193" s="61" t="s">
        <v>2770</v>
      </c>
      <c r="F193" s="62" t="s">
        <v>2944</v>
      </c>
      <c r="G193" s="62" t="s">
        <v>2772</v>
      </c>
      <c r="H193" s="61" t="s">
        <v>2945</v>
      </c>
      <c r="I193" s="50" t="s">
        <v>508</v>
      </c>
      <c r="J193" s="61" t="s">
        <v>4428</v>
      </c>
      <c r="K193" s="61" t="s">
        <v>4429</v>
      </c>
      <c r="L193" s="61" t="s">
        <v>3813</v>
      </c>
      <c r="M193" s="61" t="s">
        <v>4430</v>
      </c>
      <c r="N193" s="61"/>
      <c r="O193" s="61" t="s">
        <v>4431</v>
      </c>
      <c r="P193" s="61" t="s">
        <v>4432</v>
      </c>
      <c r="Q193" s="61" t="s">
        <v>4433</v>
      </c>
      <c r="R193" s="61" t="s">
        <v>4434</v>
      </c>
      <c r="S193" s="61" t="s">
        <v>4435</v>
      </c>
      <c r="T193" s="61" t="s">
        <v>4436</v>
      </c>
      <c r="U193" s="61" t="s">
        <v>3821</v>
      </c>
      <c r="V193" s="62" t="s">
        <v>4437</v>
      </c>
      <c r="W193" s="61" t="s">
        <v>4438</v>
      </c>
      <c r="X193" s="61" t="s">
        <v>4439</v>
      </c>
      <c r="Y193" s="61" t="s">
        <v>4440</v>
      </c>
      <c r="Z193" s="61" t="s">
        <v>4441</v>
      </c>
      <c r="AA193" s="61" t="s">
        <v>4442</v>
      </c>
      <c r="AB193" s="63" t="s">
        <v>3828</v>
      </c>
    </row>
    <row r="194" spans="1:28" x14ac:dyDescent="0.25">
      <c r="A194" s="21" t="s">
        <v>366</v>
      </c>
      <c r="B194" s="9" t="str">
        <f t="shared" si="14"/>
        <v>Bitte das Blatt „Erwartete Schäden“ ausfüllen. Bitte mindestens eine Zeile ausfüllen.</v>
      </c>
      <c r="D194" s="60" t="s">
        <v>2946</v>
      </c>
      <c r="E194" s="61" t="s">
        <v>2947</v>
      </c>
      <c r="F194" s="62" t="s">
        <v>2948</v>
      </c>
      <c r="G194" s="62" t="s">
        <v>2949</v>
      </c>
      <c r="H194" s="61" t="s">
        <v>2950</v>
      </c>
      <c r="I194" s="50" t="s">
        <v>367</v>
      </c>
      <c r="J194" s="61" t="s">
        <v>4443</v>
      </c>
      <c r="K194" s="61" t="s">
        <v>4444</v>
      </c>
      <c r="L194" s="61" t="s">
        <v>4445</v>
      </c>
      <c r="M194" s="61" t="s">
        <v>4446</v>
      </c>
      <c r="N194" s="61"/>
      <c r="O194" s="61" t="s">
        <v>4447</v>
      </c>
      <c r="P194" s="61" t="s">
        <v>4448</v>
      </c>
      <c r="Q194" s="61" t="s">
        <v>4449</v>
      </c>
      <c r="R194" s="61" t="s">
        <v>4450</v>
      </c>
      <c r="S194" s="61" t="s">
        <v>4451</v>
      </c>
      <c r="T194" s="61" t="s">
        <v>4452</v>
      </c>
      <c r="U194" s="61" t="s">
        <v>4453</v>
      </c>
      <c r="V194" s="62" t="s">
        <v>4454</v>
      </c>
      <c r="W194" s="61" t="s">
        <v>4455</v>
      </c>
      <c r="X194" s="61" t="s">
        <v>4456</v>
      </c>
      <c r="Y194" s="61" t="s">
        <v>4457</v>
      </c>
      <c r="Z194" s="61" t="s">
        <v>4458</v>
      </c>
      <c r="AA194" s="61" t="s">
        <v>4459</v>
      </c>
      <c r="AB194" s="63" t="s">
        <v>4460</v>
      </c>
    </row>
    <row r="195" spans="1:28" x14ac:dyDescent="0.25">
      <c r="A195" s="21" t="s">
        <v>368</v>
      </c>
      <c r="B195" s="9" t="str">
        <f t="shared" si="14"/>
        <v xml:space="preserve">Bitte ggf. das Blatt „Verbleib der am Leben gebliebenen Tiere“ ausfüllen. </v>
      </c>
      <c r="D195" s="60" t="s">
        <v>2951</v>
      </c>
      <c r="E195" s="61" t="s">
        <v>2952</v>
      </c>
      <c r="F195" s="62" t="s">
        <v>2953</v>
      </c>
      <c r="G195" s="62" t="s">
        <v>2954</v>
      </c>
      <c r="H195" s="61" t="s">
        <v>2955</v>
      </c>
      <c r="I195" s="50" t="s">
        <v>369</v>
      </c>
      <c r="J195" s="61" t="s">
        <v>4461</v>
      </c>
      <c r="K195" s="61" t="s">
        <v>4462</v>
      </c>
      <c r="L195" s="61" t="s">
        <v>4463</v>
      </c>
      <c r="M195" s="61" t="s">
        <v>4464</v>
      </c>
      <c r="N195" s="61"/>
      <c r="O195" s="61" t="s">
        <v>4465</v>
      </c>
      <c r="P195" s="61" t="s">
        <v>4466</v>
      </c>
      <c r="Q195" s="61" t="s">
        <v>4467</v>
      </c>
      <c r="R195" s="61" t="s">
        <v>4468</v>
      </c>
      <c r="S195" s="61" t="s">
        <v>4469</v>
      </c>
      <c r="T195" s="61" t="s">
        <v>4470</v>
      </c>
      <c r="U195" s="61" t="s">
        <v>4471</v>
      </c>
      <c r="V195" s="62" t="s">
        <v>4472</v>
      </c>
      <c r="W195" s="61" t="s">
        <v>4473</v>
      </c>
      <c r="X195" s="61" t="s">
        <v>4474</v>
      </c>
      <c r="Y195" s="61" t="s">
        <v>4475</v>
      </c>
      <c r="Z195" s="61" t="s">
        <v>4476</v>
      </c>
      <c r="AA195" s="61" t="s">
        <v>4477</v>
      </c>
      <c r="AB195" s="63" t="s">
        <v>4478</v>
      </c>
    </row>
    <row r="196" spans="1:28" x14ac:dyDescent="0.25">
      <c r="A196" s="21" t="s">
        <v>370</v>
      </c>
      <c r="B196" s="9" t="str">
        <f t="shared" si="14"/>
        <v>Format: TT-MM-JJJJ oder TT/MM/JJJJ je nach den Systemeinstellungen (z. B. 27-05-2022 oder 27/05/2022)</v>
      </c>
      <c r="D196" s="60" t="s">
        <v>2956</v>
      </c>
      <c r="E196" s="61" t="s">
        <v>2957</v>
      </c>
      <c r="F196" s="62" t="s">
        <v>2958</v>
      </c>
      <c r="G196" s="62" t="s">
        <v>2959</v>
      </c>
      <c r="H196" s="61" t="s">
        <v>2960</v>
      </c>
      <c r="I196" s="50" t="s">
        <v>549</v>
      </c>
      <c r="J196" s="61" t="s">
        <v>4479</v>
      </c>
      <c r="K196" s="61" t="s">
        <v>4480</v>
      </c>
      <c r="L196" s="61" t="s">
        <v>4481</v>
      </c>
      <c r="M196" s="61" t="s">
        <v>4482</v>
      </c>
      <c r="N196" s="61"/>
      <c r="O196" s="61" t="s">
        <v>4483</v>
      </c>
      <c r="P196" s="61" t="s">
        <v>4484</v>
      </c>
      <c r="Q196" s="61" t="s">
        <v>4485</v>
      </c>
      <c r="R196" s="61" t="s">
        <v>4486</v>
      </c>
      <c r="S196" s="61" t="s">
        <v>4487</v>
      </c>
      <c r="T196" s="61" t="s">
        <v>4488</v>
      </c>
      <c r="U196" s="61" t="s">
        <v>4489</v>
      </c>
      <c r="V196" s="62" t="s">
        <v>4490</v>
      </c>
      <c r="W196" s="61" t="s">
        <v>4491</v>
      </c>
      <c r="X196" s="61" t="s">
        <v>4492</v>
      </c>
      <c r="Y196" s="61" t="s">
        <v>4493</v>
      </c>
      <c r="Z196" s="61" t="s">
        <v>4494</v>
      </c>
      <c r="AA196" s="61" t="s">
        <v>4495</v>
      </c>
      <c r="AB196" s="63" t="s">
        <v>4496</v>
      </c>
    </row>
    <row r="197" spans="1:28" x14ac:dyDescent="0.25">
      <c r="A197" s="21" t="s">
        <v>386</v>
      </c>
      <c r="B197" s="9" t="str">
        <f t="shared" si="14"/>
        <v>Zusätzliche Felder</v>
      </c>
      <c r="D197" s="60" t="s">
        <v>2961</v>
      </c>
      <c r="E197" s="61" t="s">
        <v>2962</v>
      </c>
      <c r="F197" s="62" t="s">
        <v>2963</v>
      </c>
      <c r="G197" s="62" t="s">
        <v>2964</v>
      </c>
      <c r="H197" s="61" t="s">
        <v>2965</v>
      </c>
      <c r="I197" s="50" t="s">
        <v>387</v>
      </c>
      <c r="J197" s="61" t="s">
        <v>4497</v>
      </c>
      <c r="K197" s="61" t="s">
        <v>4498</v>
      </c>
      <c r="L197" s="61" t="s">
        <v>4499</v>
      </c>
      <c r="M197" s="61" t="s">
        <v>4500</v>
      </c>
      <c r="N197" s="61"/>
      <c r="O197" s="61" t="s">
        <v>4501</v>
      </c>
      <c r="P197" s="61" t="s">
        <v>4502</v>
      </c>
      <c r="Q197" s="61" t="s">
        <v>4503</v>
      </c>
      <c r="R197" s="61" t="s">
        <v>4504</v>
      </c>
      <c r="S197" s="61" t="s">
        <v>4505</v>
      </c>
      <c r="T197" s="61" t="s">
        <v>4506</v>
      </c>
      <c r="U197" s="61" t="s">
        <v>4507</v>
      </c>
      <c r="V197" s="62" t="s">
        <v>4508</v>
      </c>
      <c r="W197" s="61" t="s">
        <v>4509</v>
      </c>
      <c r="X197" s="61" t="s">
        <v>4510</v>
      </c>
      <c r="Y197" s="61" t="s">
        <v>4511</v>
      </c>
      <c r="Z197" s="61" t="s">
        <v>4501</v>
      </c>
      <c r="AA197" s="61" t="s">
        <v>4512</v>
      </c>
      <c r="AB197" s="63" t="s">
        <v>4513</v>
      </c>
    </row>
    <row r="198" spans="1:28" x14ac:dyDescent="0.25">
      <c r="A198" s="21" t="s">
        <v>388</v>
      </c>
      <c r="B198" s="9" t="str">
        <f t="shared" si="14"/>
        <v>Ob das jeweilige Feld auszufüllen ist oder nicht, hängt von den nationalen Vorschriften ab.</v>
      </c>
      <c r="D198" s="60" t="s">
        <v>2966</v>
      </c>
      <c r="E198" s="61" t="s">
        <v>2967</v>
      </c>
      <c r="F198" s="62" t="s">
        <v>2968</v>
      </c>
      <c r="G198" s="62" t="s">
        <v>2969</v>
      </c>
      <c r="H198" s="61" t="s">
        <v>2970</v>
      </c>
      <c r="I198" s="50" t="s">
        <v>394</v>
      </c>
      <c r="J198" s="61" t="s">
        <v>4514</v>
      </c>
      <c r="K198" s="61" t="s">
        <v>4515</v>
      </c>
      <c r="L198" s="61" t="s">
        <v>4516</v>
      </c>
      <c r="M198" s="61" t="s">
        <v>4517</v>
      </c>
      <c r="N198" s="61"/>
      <c r="O198" s="61" t="s">
        <v>4518</v>
      </c>
      <c r="P198" s="61" t="s">
        <v>4519</v>
      </c>
      <c r="Q198" s="61" t="s">
        <v>4520</v>
      </c>
      <c r="R198" s="61" t="s">
        <v>4521</v>
      </c>
      <c r="S198" s="61" t="s">
        <v>4522</v>
      </c>
      <c r="T198" s="61" t="s">
        <v>4523</v>
      </c>
      <c r="U198" s="61" t="s">
        <v>4524</v>
      </c>
      <c r="V198" s="62" t="s">
        <v>4525</v>
      </c>
      <c r="W198" s="61" t="s">
        <v>4526</v>
      </c>
      <c r="X198" s="61" t="s">
        <v>4527</v>
      </c>
      <c r="Y198" s="61" t="s">
        <v>4528</v>
      </c>
      <c r="Z198" s="61" t="s">
        <v>4529</v>
      </c>
      <c r="AA198" s="61" t="s">
        <v>4530</v>
      </c>
      <c r="AB198" s="63" t="s">
        <v>4531</v>
      </c>
    </row>
    <row r="199" spans="1:28" x14ac:dyDescent="0.25">
      <c r="A199" s="21" t="s">
        <v>389</v>
      </c>
      <c r="B199" s="9" t="str">
        <f t="shared" si="14"/>
        <v>Projektbeginn</v>
      </c>
      <c r="D199" s="60" t="s">
        <v>2971</v>
      </c>
      <c r="E199" s="61" t="s">
        <v>2972</v>
      </c>
      <c r="F199" s="62" t="s">
        <v>2973</v>
      </c>
      <c r="G199" s="62" t="s">
        <v>2974</v>
      </c>
      <c r="H199" s="61" t="s">
        <v>2975</v>
      </c>
      <c r="I199" s="50" t="s">
        <v>390</v>
      </c>
      <c r="J199" s="61" t="s">
        <v>4532</v>
      </c>
      <c r="K199" s="61" t="s">
        <v>4533</v>
      </c>
      <c r="L199" s="61" t="s">
        <v>4534</v>
      </c>
      <c r="M199" s="61" t="s">
        <v>4535</v>
      </c>
      <c r="N199" s="61"/>
      <c r="O199" s="61" t="s">
        <v>4536</v>
      </c>
      <c r="P199" s="61" t="s">
        <v>4537</v>
      </c>
      <c r="Q199" s="61" t="s">
        <v>4538</v>
      </c>
      <c r="R199" s="61" t="s">
        <v>4539</v>
      </c>
      <c r="S199" s="61" t="s">
        <v>4540</v>
      </c>
      <c r="T199" s="61" t="s">
        <v>4541</v>
      </c>
      <c r="U199" s="61" t="s">
        <v>4542</v>
      </c>
      <c r="V199" s="62" t="s">
        <v>4543</v>
      </c>
      <c r="W199" s="61" t="s">
        <v>4544</v>
      </c>
      <c r="X199" s="61" t="s">
        <v>4545</v>
      </c>
      <c r="Y199" s="61" t="s">
        <v>4546</v>
      </c>
      <c r="Z199" s="61" t="s">
        <v>4547</v>
      </c>
      <c r="AA199" s="61" t="s">
        <v>4548</v>
      </c>
      <c r="AB199" s="63" t="s">
        <v>4549</v>
      </c>
    </row>
    <row r="200" spans="1:28" x14ac:dyDescent="0.25">
      <c r="A200" s="21" t="s">
        <v>395</v>
      </c>
      <c r="B200" s="9" t="str">
        <f t="shared" ref="B200" si="16">IF(TRIM(HLOOKUP(language_or_default,textTranslations,MATCH(A200,text,0),FALSE))="",HLOOKUP("en",textTranslations,MATCH(A200,text,0),FALSE),HLOOKUP(language_or_default,textTranslations,MATCH(A200,text,0),FALSE))</f>
        <v>Projektende</v>
      </c>
      <c r="D200" s="60" t="s">
        <v>2976</v>
      </c>
      <c r="E200" s="61" t="s">
        <v>2977</v>
      </c>
      <c r="F200" s="62" t="s">
        <v>2978</v>
      </c>
      <c r="G200" s="62" t="s">
        <v>2979</v>
      </c>
      <c r="H200" s="61" t="s">
        <v>2980</v>
      </c>
      <c r="I200" s="50" t="s">
        <v>396</v>
      </c>
      <c r="J200" s="61" t="s">
        <v>4550</v>
      </c>
      <c r="K200" s="61" t="s">
        <v>4551</v>
      </c>
      <c r="L200" s="61" t="s">
        <v>4552</v>
      </c>
      <c r="M200" s="61" t="s">
        <v>4553</v>
      </c>
      <c r="N200" s="61"/>
      <c r="O200" s="61" t="s">
        <v>4554</v>
      </c>
      <c r="P200" s="61" t="s">
        <v>4555</v>
      </c>
      <c r="Q200" s="61" t="s">
        <v>4556</v>
      </c>
      <c r="R200" s="61" t="s">
        <v>4557</v>
      </c>
      <c r="S200" s="61" t="s">
        <v>4558</v>
      </c>
      <c r="T200" s="61" t="s">
        <v>4559</v>
      </c>
      <c r="U200" s="61" t="s">
        <v>4560</v>
      </c>
      <c r="V200" s="62" t="s">
        <v>4561</v>
      </c>
      <c r="W200" s="61" t="s">
        <v>4562</v>
      </c>
      <c r="X200" s="61" t="s">
        <v>4563</v>
      </c>
      <c r="Y200" s="61" t="s">
        <v>4564</v>
      </c>
      <c r="Z200" s="61" t="s">
        <v>4565</v>
      </c>
      <c r="AA200" s="61" t="s">
        <v>4566</v>
      </c>
      <c r="AB200" s="63" t="s">
        <v>4567</v>
      </c>
    </row>
    <row r="201" spans="1:28" x14ac:dyDescent="0.25">
      <c r="A201" s="21" t="s">
        <v>399</v>
      </c>
      <c r="B201" s="9" t="str">
        <f t="shared" si="14"/>
        <v>Datum der Projektgenehmigung</v>
      </c>
      <c r="D201" s="60" t="s">
        <v>2981</v>
      </c>
      <c r="E201" s="61" t="s">
        <v>2982</v>
      </c>
      <c r="F201" s="62" t="s">
        <v>2983</v>
      </c>
      <c r="G201" s="62" t="s">
        <v>2984</v>
      </c>
      <c r="H201" s="61" t="s">
        <v>2985</v>
      </c>
      <c r="I201" s="50" t="s">
        <v>400</v>
      </c>
      <c r="J201" s="61" t="s">
        <v>4568</v>
      </c>
      <c r="K201" s="61" t="s">
        <v>4569</v>
      </c>
      <c r="L201" s="61" t="s">
        <v>4570</v>
      </c>
      <c r="M201" s="61" t="s">
        <v>4571</v>
      </c>
      <c r="N201" s="61"/>
      <c r="O201" s="61" t="s">
        <v>4572</v>
      </c>
      <c r="P201" s="61" t="s">
        <v>4573</v>
      </c>
      <c r="Q201" s="61" t="s">
        <v>4574</v>
      </c>
      <c r="R201" s="61" t="s">
        <v>4575</v>
      </c>
      <c r="S201" s="61" t="s">
        <v>4576</v>
      </c>
      <c r="T201" s="61" t="s">
        <v>4577</v>
      </c>
      <c r="U201" s="61" t="s">
        <v>4578</v>
      </c>
      <c r="V201" s="62" t="s">
        <v>4579</v>
      </c>
      <c r="W201" s="61" t="s">
        <v>4580</v>
      </c>
      <c r="X201" s="61" t="s">
        <v>4581</v>
      </c>
      <c r="Y201" s="61" t="s">
        <v>4582</v>
      </c>
      <c r="Z201" s="61" t="s">
        <v>4583</v>
      </c>
      <c r="AA201" s="61" t="s">
        <v>4584</v>
      </c>
      <c r="AB201" s="63" t="s">
        <v>4585</v>
      </c>
    </row>
    <row r="202" spans="1:28" x14ac:dyDescent="0.25">
      <c r="A202" s="21" t="s">
        <v>401</v>
      </c>
      <c r="B202" s="9" t="str">
        <f t="shared" si="14"/>
        <v>ICD-Code</v>
      </c>
      <c r="D202" s="60" t="s">
        <v>2986</v>
      </c>
      <c r="E202" s="61" t="s">
        <v>2987</v>
      </c>
      <c r="F202" s="62" t="s">
        <v>2988</v>
      </c>
      <c r="G202" s="62" t="s">
        <v>2989</v>
      </c>
      <c r="H202" s="61" t="s">
        <v>2990</v>
      </c>
      <c r="I202" s="50" t="s">
        <v>402</v>
      </c>
      <c r="J202" s="61" t="s">
        <v>4586</v>
      </c>
      <c r="K202" s="61" t="s">
        <v>4587</v>
      </c>
      <c r="L202" s="61" t="s">
        <v>4588</v>
      </c>
      <c r="M202" s="61" t="s">
        <v>4589</v>
      </c>
      <c r="N202" s="61"/>
      <c r="O202" s="61" t="s">
        <v>4590</v>
      </c>
      <c r="P202" s="61" t="s">
        <v>4591</v>
      </c>
      <c r="Q202" s="61" t="s">
        <v>4592</v>
      </c>
      <c r="R202" s="61" t="s">
        <v>4593</v>
      </c>
      <c r="S202" s="61" t="s">
        <v>4594</v>
      </c>
      <c r="T202" s="61" t="s">
        <v>4595</v>
      </c>
      <c r="U202" s="61" t="s">
        <v>4596</v>
      </c>
      <c r="V202" s="62" t="s">
        <v>4597</v>
      </c>
      <c r="W202" s="61" t="s">
        <v>4598</v>
      </c>
      <c r="X202" s="61" t="s">
        <v>4599</v>
      </c>
      <c r="Y202" s="61" t="s">
        <v>4600</v>
      </c>
      <c r="Z202" s="61" t="s">
        <v>4601</v>
      </c>
      <c r="AA202" s="61" t="s">
        <v>4602</v>
      </c>
      <c r="AB202" s="63" t="s">
        <v>2988</v>
      </c>
    </row>
    <row r="203" spans="1:28" x14ac:dyDescent="0.25">
      <c r="A203" s="21" t="s">
        <v>494</v>
      </c>
      <c r="B203" s="9" t="str">
        <f t="shared" si="14"/>
        <v>Nationales Feld 1</v>
      </c>
      <c r="D203" s="60" t="s">
        <v>2991</v>
      </c>
      <c r="E203" s="61" t="s">
        <v>2992</v>
      </c>
      <c r="F203" s="62" t="s">
        <v>2993</v>
      </c>
      <c r="G203" s="62" t="s">
        <v>2994</v>
      </c>
      <c r="H203" s="61" t="s">
        <v>2995</v>
      </c>
      <c r="I203" s="50" t="s">
        <v>556</v>
      </c>
      <c r="J203" s="61" t="s">
        <v>4603</v>
      </c>
      <c r="K203" s="61" t="s">
        <v>4604</v>
      </c>
      <c r="L203" s="61" t="s">
        <v>4605</v>
      </c>
      <c r="M203" s="61" t="s">
        <v>4606</v>
      </c>
      <c r="N203" s="61"/>
      <c r="O203" s="61" t="s">
        <v>4607</v>
      </c>
      <c r="P203" s="61" t="s">
        <v>4608</v>
      </c>
      <c r="Q203" s="61" t="s">
        <v>4609</v>
      </c>
      <c r="R203" s="61" t="s">
        <v>4610</v>
      </c>
      <c r="S203" s="61" t="s">
        <v>4611</v>
      </c>
      <c r="T203" s="61" t="s">
        <v>4612</v>
      </c>
      <c r="U203" s="61" t="s">
        <v>4613</v>
      </c>
      <c r="V203" s="62" t="s">
        <v>4614</v>
      </c>
      <c r="W203" s="61" t="s">
        <v>4603</v>
      </c>
      <c r="X203" s="61" t="s">
        <v>4615</v>
      </c>
      <c r="Y203" s="61" t="s">
        <v>4616</v>
      </c>
      <c r="Z203" s="61" t="s">
        <v>4607</v>
      </c>
      <c r="AA203" s="61" t="s">
        <v>4617</v>
      </c>
      <c r="AB203" s="63" t="s">
        <v>4618</v>
      </c>
    </row>
    <row r="204" spans="1:28" x14ac:dyDescent="0.25">
      <c r="A204" s="21" t="s">
        <v>495</v>
      </c>
      <c r="B204" s="9" t="str">
        <f t="shared" si="14"/>
        <v>Nationales Feld 2</v>
      </c>
      <c r="D204" s="60" t="s">
        <v>2996</v>
      </c>
      <c r="E204" s="61" t="s">
        <v>2997</v>
      </c>
      <c r="F204" s="62" t="s">
        <v>2998</v>
      </c>
      <c r="G204" s="62" t="s">
        <v>2999</v>
      </c>
      <c r="H204" s="61" t="s">
        <v>3000</v>
      </c>
      <c r="I204" s="50" t="s">
        <v>557</v>
      </c>
      <c r="J204" s="61" t="s">
        <v>4619</v>
      </c>
      <c r="K204" s="61" t="s">
        <v>4620</v>
      </c>
      <c r="L204" s="61" t="s">
        <v>4621</v>
      </c>
      <c r="M204" s="61" t="s">
        <v>4622</v>
      </c>
      <c r="N204" s="61"/>
      <c r="O204" s="61" t="s">
        <v>4623</v>
      </c>
      <c r="P204" s="61" t="s">
        <v>4624</v>
      </c>
      <c r="Q204" s="61" t="s">
        <v>4625</v>
      </c>
      <c r="R204" s="61" t="s">
        <v>4626</v>
      </c>
      <c r="S204" s="61" t="s">
        <v>4627</v>
      </c>
      <c r="T204" s="61" t="s">
        <v>4628</v>
      </c>
      <c r="U204" s="61" t="s">
        <v>4629</v>
      </c>
      <c r="V204" s="62" t="s">
        <v>4630</v>
      </c>
      <c r="W204" s="61" t="s">
        <v>4619</v>
      </c>
      <c r="X204" s="61" t="s">
        <v>4631</v>
      </c>
      <c r="Y204" s="61" t="s">
        <v>4632</v>
      </c>
      <c r="Z204" s="61" t="s">
        <v>4623</v>
      </c>
      <c r="AA204" s="61" t="s">
        <v>4633</v>
      </c>
      <c r="AB204" s="63" t="s">
        <v>4634</v>
      </c>
    </row>
    <row r="205" spans="1:28" x14ac:dyDescent="0.25">
      <c r="A205" s="21" t="s">
        <v>496</v>
      </c>
      <c r="B205" s="9" t="str">
        <f t="shared" si="14"/>
        <v>Nationales Feld 3</v>
      </c>
      <c r="D205" s="60" t="s">
        <v>3001</v>
      </c>
      <c r="E205" s="61" t="s">
        <v>3002</v>
      </c>
      <c r="F205" s="62" t="s">
        <v>3003</v>
      </c>
      <c r="G205" s="62" t="s">
        <v>3004</v>
      </c>
      <c r="H205" s="61" t="s">
        <v>3005</v>
      </c>
      <c r="I205" s="50" t="s">
        <v>558</v>
      </c>
      <c r="J205" s="61" t="s">
        <v>4635</v>
      </c>
      <c r="K205" s="61" t="s">
        <v>4636</v>
      </c>
      <c r="L205" s="61" t="s">
        <v>4637</v>
      </c>
      <c r="M205" s="61" t="s">
        <v>4638</v>
      </c>
      <c r="N205" s="61"/>
      <c r="O205" s="61" t="s">
        <v>4639</v>
      </c>
      <c r="P205" s="61" t="s">
        <v>4640</v>
      </c>
      <c r="Q205" s="61" t="s">
        <v>4641</v>
      </c>
      <c r="R205" s="61" t="s">
        <v>4642</v>
      </c>
      <c r="S205" s="61" t="s">
        <v>4643</v>
      </c>
      <c r="T205" s="61" t="s">
        <v>4644</v>
      </c>
      <c r="U205" s="61" t="s">
        <v>4645</v>
      </c>
      <c r="V205" s="62" t="s">
        <v>4646</v>
      </c>
      <c r="W205" s="61" t="s">
        <v>4635</v>
      </c>
      <c r="X205" s="61" t="s">
        <v>4647</v>
      </c>
      <c r="Y205" s="61" t="s">
        <v>4648</v>
      </c>
      <c r="Z205" s="61" t="s">
        <v>4639</v>
      </c>
      <c r="AA205" s="61" t="s">
        <v>4649</v>
      </c>
      <c r="AB205" s="63" t="s">
        <v>4650</v>
      </c>
    </row>
    <row r="206" spans="1:28" x14ac:dyDescent="0.25">
      <c r="A206" s="21" t="s">
        <v>503</v>
      </c>
      <c r="B206" s="9" t="str">
        <f t="shared" si="14"/>
        <v>Nationales Feld 4</v>
      </c>
      <c r="D206" s="60" t="s">
        <v>3006</v>
      </c>
      <c r="E206" s="61" t="s">
        <v>3007</v>
      </c>
      <c r="F206" s="62" t="s">
        <v>3008</v>
      </c>
      <c r="G206" s="62" t="s">
        <v>3009</v>
      </c>
      <c r="H206" s="61" t="s">
        <v>3010</v>
      </c>
      <c r="I206" s="50" t="s">
        <v>559</v>
      </c>
      <c r="J206" s="61" t="s">
        <v>4651</v>
      </c>
      <c r="K206" s="61" t="s">
        <v>4652</v>
      </c>
      <c r="L206" s="61" t="s">
        <v>4653</v>
      </c>
      <c r="M206" s="61" t="s">
        <v>4654</v>
      </c>
      <c r="N206" s="61"/>
      <c r="O206" s="61" t="s">
        <v>4655</v>
      </c>
      <c r="P206" s="61" t="s">
        <v>4656</v>
      </c>
      <c r="Q206" s="61" t="s">
        <v>4657</v>
      </c>
      <c r="R206" s="61" t="s">
        <v>4658</v>
      </c>
      <c r="S206" s="61" t="s">
        <v>4659</v>
      </c>
      <c r="T206" s="61" t="s">
        <v>4660</v>
      </c>
      <c r="U206" s="61" t="s">
        <v>4661</v>
      </c>
      <c r="V206" s="62" t="s">
        <v>4662</v>
      </c>
      <c r="W206" s="61" t="s">
        <v>4651</v>
      </c>
      <c r="X206" s="61" t="s">
        <v>4663</v>
      </c>
      <c r="Y206" s="61" t="s">
        <v>4664</v>
      </c>
      <c r="Z206" s="61" t="s">
        <v>4655</v>
      </c>
      <c r="AA206" s="61" t="s">
        <v>4665</v>
      </c>
      <c r="AB206" s="63" t="s">
        <v>4666</v>
      </c>
    </row>
    <row r="207" spans="1:28" x14ac:dyDescent="0.25">
      <c r="A207" s="21" t="s">
        <v>504</v>
      </c>
      <c r="B207" s="9" t="str">
        <f t="shared" si="14"/>
        <v>Nationales Feld 5</v>
      </c>
      <c r="D207" s="60" t="s">
        <v>3011</v>
      </c>
      <c r="E207" s="61" t="s">
        <v>3012</v>
      </c>
      <c r="F207" s="62" t="s">
        <v>3013</v>
      </c>
      <c r="G207" s="62" t="s">
        <v>3014</v>
      </c>
      <c r="H207" s="61" t="s">
        <v>3015</v>
      </c>
      <c r="I207" s="50" t="s">
        <v>560</v>
      </c>
      <c r="J207" s="61" t="s">
        <v>4667</v>
      </c>
      <c r="K207" s="61" t="s">
        <v>4668</v>
      </c>
      <c r="L207" s="61" t="s">
        <v>4669</v>
      </c>
      <c r="M207" s="61" t="s">
        <v>4670</v>
      </c>
      <c r="N207" s="61"/>
      <c r="O207" s="61" t="s">
        <v>4671</v>
      </c>
      <c r="P207" s="61" t="s">
        <v>4672</v>
      </c>
      <c r="Q207" s="61" t="s">
        <v>4673</v>
      </c>
      <c r="R207" s="61" t="s">
        <v>4674</v>
      </c>
      <c r="S207" s="61" t="s">
        <v>4675</v>
      </c>
      <c r="T207" s="61" t="s">
        <v>4676</v>
      </c>
      <c r="U207" s="61" t="s">
        <v>4677</v>
      </c>
      <c r="V207" s="62" t="s">
        <v>4678</v>
      </c>
      <c r="W207" s="61" t="s">
        <v>4667</v>
      </c>
      <c r="X207" s="61" t="s">
        <v>4679</v>
      </c>
      <c r="Y207" s="61" t="s">
        <v>4680</v>
      </c>
      <c r="Z207" s="61" t="s">
        <v>4671</v>
      </c>
      <c r="AA207" s="61" t="s">
        <v>4681</v>
      </c>
      <c r="AB207" s="63" t="s">
        <v>4682</v>
      </c>
    </row>
    <row r="208" spans="1:28" x14ac:dyDescent="0.25">
      <c r="A208" s="21" t="s">
        <v>493</v>
      </c>
      <c r="B208" s="9" t="str">
        <f t="shared" ref="B208" si="17">IF(TRIM(HLOOKUP(language_or_default,textTranslations,MATCH(A208,text,0),FALSE))="",HLOOKUP("en",textTranslations,MATCH(A208,text,0),FALSE),HLOOKUP(language_or_default,textTranslations,MATCH(A208,text,0),FALSE))</f>
        <v>Bitte das Blatt „Projektziel(e)“ ausfüllen.</v>
      </c>
      <c r="D208" s="60" t="s">
        <v>3016</v>
      </c>
      <c r="E208" s="61" t="s">
        <v>3017</v>
      </c>
      <c r="F208" s="62" t="s">
        <v>3018</v>
      </c>
      <c r="G208" s="62" t="s">
        <v>3019</v>
      </c>
      <c r="H208" s="61" t="s">
        <v>3020</v>
      </c>
      <c r="I208" s="50" t="s">
        <v>561</v>
      </c>
      <c r="J208" s="61" t="s">
        <v>4683</v>
      </c>
      <c r="K208" s="61" t="s">
        <v>4684</v>
      </c>
      <c r="L208" s="61" t="s">
        <v>4685</v>
      </c>
      <c r="M208" s="61" t="s">
        <v>4686</v>
      </c>
      <c r="N208" s="61"/>
      <c r="O208" s="61" t="s">
        <v>4687</v>
      </c>
      <c r="P208" s="61" t="s">
        <v>4688</v>
      </c>
      <c r="Q208" s="61" t="s">
        <v>4689</v>
      </c>
      <c r="R208" s="61" t="s">
        <v>4690</v>
      </c>
      <c r="S208" s="61" t="s">
        <v>4691</v>
      </c>
      <c r="T208" s="61" t="s">
        <v>4692</v>
      </c>
      <c r="U208" s="61" t="s">
        <v>4693</v>
      </c>
      <c r="V208" s="62" t="s">
        <v>4694</v>
      </c>
      <c r="W208" s="61" t="s">
        <v>4695</v>
      </c>
      <c r="X208" s="61" t="s">
        <v>4696</v>
      </c>
      <c r="Y208" s="61" t="s">
        <v>4697</v>
      </c>
      <c r="Z208" s="61" t="s">
        <v>4698</v>
      </c>
      <c r="AA208" s="61" t="s">
        <v>4699</v>
      </c>
      <c r="AB208" s="63" t="s">
        <v>4700</v>
      </c>
    </row>
    <row r="209" spans="1:28" x14ac:dyDescent="0.25">
      <c r="A209" s="21" t="s">
        <v>498</v>
      </c>
      <c r="B209" s="9" t="str">
        <f t="shared" si="14"/>
        <v>(in Monaten)</v>
      </c>
      <c r="D209" s="60" t="s">
        <v>3021</v>
      </c>
      <c r="E209" s="61" t="s">
        <v>3022</v>
      </c>
      <c r="F209" s="62" t="s">
        <v>3023</v>
      </c>
      <c r="G209" s="62" t="s">
        <v>3024</v>
      </c>
      <c r="H209" s="61" t="s">
        <v>3025</v>
      </c>
      <c r="I209" s="50" t="s">
        <v>551</v>
      </c>
      <c r="J209" s="61" t="s">
        <v>4701</v>
      </c>
      <c r="K209" s="61" t="s">
        <v>4702</v>
      </c>
      <c r="L209" s="61" t="s">
        <v>4703</v>
      </c>
      <c r="M209" s="61" t="s">
        <v>4704</v>
      </c>
      <c r="N209" s="61"/>
      <c r="O209" s="61" t="s">
        <v>4705</v>
      </c>
      <c r="P209" s="61" t="s">
        <v>4706</v>
      </c>
      <c r="Q209" s="61" t="s">
        <v>4707</v>
      </c>
      <c r="R209" s="61" t="s">
        <v>4708</v>
      </c>
      <c r="S209" s="61" t="s">
        <v>4709</v>
      </c>
      <c r="T209" s="61" t="s">
        <v>4710</v>
      </c>
      <c r="U209" s="61" t="s">
        <v>4711</v>
      </c>
      <c r="V209" s="62" t="s">
        <v>4712</v>
      </c>
      <c r="W209" s="61" t="s">
        <v>4713</v>
      </c>
      <c r="X209" s="61" t="s">
        <v>4714</v>
      </c>
      <c r="Y209" s="61" t="s">
        <v>4715</v>
      </c>
      <c r="Z209" s="61" t="s">
        <v>4716</v>
      </c>
      <c r="AA209" s="61" t="s">
        <v>4717</v>
      </c>
      <c r="AB209" s="63" t="s">
        <v>3023</v>
      </c>
    </row>
    <row r="210" spans="1:28" x14ac:dyDescent="0.25">
      <c r="A210" s="21" t="s">
        <v>501</v>
      </c>
      <c r="B210" s="9" t="str">
        <f t="shared" si="14"/>
        <v>Kann aus mehr als einem Wort bestehen.</v>
      </c>
      <c r="D210" s="60" t="s">
        <v>3026</v>
      </c>
      <c r="E210" s="61" t="s">
        <v>3027</v>
      </c>
      <c r="F210" s="62" t="s">
        <v>3028</v>
      </c>
      <c r="G210" s="62" t="s">
        <v>3029</v>
      </c>
      <c r="H210" s="61" t="s">
        <v>3030</v>
      </c>
      <c r="I210" s="50" t="s">
        <v>502</v>
      </c>
      <c r="J210" s="61" t="s">
        <v>4718</v>
      </c>
      <c r="K210" s="61" t="s">
        <v>4719</v>
      </c>
      <c r="L210" s="61" t="s">
        <v>4720</v>
      </c>
      <c r="M210" s="61" t="s">
        <v>4721</v>
      </c>
      <c r="N210" s="61"/>
      <c r="O210" s="61" t="s">
        <v>4722</v>
      </c>
      <c r="P210" s="61" t="s">
        <v>4723</v>
      </c>
      <c r="Q210" s="61" t="s">
        <v>4724</v>
      </c>
      <c r="R210" s="61" t="s">
        <v>4725</v>
      </c>
      <c r="S210" s="61" t="s">
        <v>4726</v>
      </c>
      <c r="T210" s="61" t="s">
        <v>4727</v>
      </c>
      <c r="U210" s="61" t="s">
        <v>4728</v>
      </c>
      <c r="V210" s="62" t="s">
        <v>4729</v>
      </c>
      <c r="W210" s="61" t="s">
        <v>4730</v>
      </c>
      <c r="X210" s="61" t="s">
        <v>4731</v>
      </c>
      <c r="Y210" s="61" t="s">
        <v>4732</v>
      </c>
      <c r="Z210" s="61" t="s">
        <v>4733</v>
      </c>
      <c r="AA210" s="61" t="s">
        <v>4734</v>
      </c>
      <c r="AB210" s="63" t="s">
        <v>4735</v>
      </c>
    </row>
    <row r="211" spans="1:28" x14ac:dyDescent="0.25">
      <c r="A211" s="21" t="s">
        <v>505</v>
      </c>
      <c r="B211" s="9" t="str">
        <f t="shared" si="14"/>
        <v>Bitte in allen Kategorien ganze Zahlen (0 oder höher) eintragen.</v>
      </c>
      <c r="D211" s="60" t="s">
        <v>3031</v>
      </c>
      <c r="E211" s="61" t="s">
        <v>3032</v>
      </c>
      <c r="F211" s="62" t="s">
        <v>3033</v>
      </c>
      <c r="G211" s="62" t="s">
        <v>3034</v>
      </c>
      <c r="H211" s="61" t="s">
        <v>3035</v>
      </c>
      <c r="I211" s="50" t="s">
        <v>506</v>
      </c>
      <c r="J211" s="61" t="s">
        <v>4736</v>
      </c>
      <c r="K211" s="61" t="s">
        <v>4737</v>
      </c>
      <c r="L211" s="61" t="s">
        <v>4738</v>
      </c>
      <c r="M211" s="61" t="s">
        <v>4739</v>
      </c>
      <c r="N211" s="61"/>
      <c r="O211" s="61" t="s">
        <v>4740</v>
      </c>
      <c r="P211" s="61" t="s">
        <v>4741</v>
      </c>
      <c r="Q211" s="61" t="s">
        <v>4742</v>
      </c>
      <c r="R211" s="61" t="s">
        <v>4743</v>
      </c>
      <c r="S211" s="61" t="s">
        <v>4744</v>
      </c>
      <c r="T211" s="61" t="s">
        <v>4745</v>
      </c>
      <c r="U211" s="61" t="s">
        <v>4746</v>
      </c>
      <c r="V211" s="62" t="s">
        <v>4747</v>
      </c>
      <c r="W211" s="61" t="s">
        <v>4748</v>
      </c>
      <c r="X211" s="61" t="s">
        <v>4749</v>
      </c>
      <c r="Y211" s="61" t="s">
        <v>4750</v>
      </c>
      <c r="Z211" s="61" t="s">
        <v>4751</v>
      </c>
      <c r="AA211" s="61" t="s">
        <v>4752</v>
      </c>
      <c r="AB211" s="63" t="s">
        <v>4753</v>
      </c>
    </row>
    <row r="212" spans="1:28" x14ac:dyDescent="0.25">
      <c r="A212" s="21" t="s">
        <v>513</v>
      </c>
      <c r="B212" s="9" t="str">
        <f t="shared" si="14"/>
        <v>Bitte angeben, ob das Projekt in den Anwendungsbereich der Richtlinie fällt oder nicht.</v>
      </c>
      <c r="D212" s="60" t="s">
        <v>3036</v>
      </c>
      <c r="E212" s="61" t="s">
        <v>3037</v>
      </c>
      <c r="F212" s="62" t="s">
        <v>3038</v>
      </c>
      <c r="G212" s="62" t="s">
        <v>3039</v>
      </c>
      <c r="H212" s="61" t="s">
        <v>3040</v>
      </c>
      <c r="I212" s="50" t="s">
        <v>537</v>
      </c>
      <c r="J212" s="61" t="s">
        <v>4754</v>
      </c>
      <c r="K212" s="61" t="s">
        <v>4755</v>
      </c>
      <c r="L212" s="61" t="s">
        <v>4756</v>
      </c>
      <c r="M212" s="61" t="s">
        <v>4757</v>
      </c>
      <c r="N212" s="61"/>
      <c r="O212" s="61" t="s">
        <v>4758</v>
      </c>
      <c r="P212" s="61" t="s">
        <v>4759</v>
      </c>
      <c r="Q212" s="61" t="s">
        <v>4760</v>
      </c>
      <c r="R212" s="61" t="s">
        <v>4761</v>
      </c>
      <c r="S212" s="61" t="s">
        <v>4762</v>
      </c>
      <c r="T212" s="61" t="s">
        <v>4763</v>
      </c>
      <c r="U212" s="61" t="s">
        <v>4764</v>
      </c>
      <c r="V212" s="62" t="s">
        <v>4765</v>
      </c>
      <c r="W212" s="61" t="s">
        <v>4766</v>
      </c>
      <c r="X212" s="61" t="s">
        <v>4767</v>
      </c>
      <c r="Y212" s="61" t="s">
        <v>4768</v>
      </c>
      <c r="Z212" s="61" t="s">
        <v>4769</v>
      </c>
      <c r="AA212" s="61" t="s">
        <v>4770</v>
      </c>
      <c r="AB212" s="63" t="s">
        <v>4771</v>
      </c>
    </row>
    <row r="213" spans="1:28" x14ac:dyDescent="0.25">
      <c r="A213" s="21" t="s">
        <v>530</v>
      </c>
      <c r="B213" s="9" t="str">
        <f t="shared" ref="B213:B224" si="18">IF(TRIM(HLOOKUP(language_or_default,textTranslations,MATCH(A213,text,0),FALSE))="",HLOOKUP("en",textTranslations,MATCH(A213,text,0),FALSE),HLOOKUP(language_or_default,textTranslations,MATCH(A213,text,0),FALSE))</f>
        <v>Code der Internationalen Klassifikation der Krankheiten (ICD)</v>
      </c>
      <c r="D213" s="60" t="s">
        <v>3041</v>
      </c>
      <c r="E213" s="61" t="s">
        <v>3042</v>
      </c>
      <c r="F213" s="62" t="s">
        <v>3043</v>
      </c>
      <c r="G213" s="62" t="s">
        <v>3044</v>
      </c>
      <c r="H213" s="61" t="s">
        <v>3045</v>
      </c>
      <c r="I213" s="50" t="s">
        <v>564</v>
      </c>
      <c r="J213" s="61" t="s">
        <v>4772</v>
      </c>
      <c r="K213" s="61" t="s">
        <v>4773</v>
      </c>
      <c r="L213" s="61" t="s">
        <v>4774</v>
      </c>
      <c r="M213" s="61" t="s">
        <v>4775</v>
      </c>
      <c r="N213" s="61"/>
      <c r="O213" s="61" t="s">
        <v>4776</v>
      </c>
      <c r="P213" s="61" t="s">
        <v>4777</v>
      </c>
      <c r="Q213" s="61" t="s">
        <v>4778</v>
      </c>
      <c r="R213" s="61" t="s">
        <v>4779</v>
      </c>
      <c r="S213" s="61" t="s">
        <v>4780</v>
      </c>
      <c r="T213" s="61" t="s">
        <v>4781</v>
      </c>
      <c r="U213" s="61" t="s">
        <v>4782</v>
      </c>
      <c r="V213" s="62" t="s">
        <v>4783</v>
      </c>
      <c r="W213" s="61" t="s">
        <v>4784</v>
      </c>
      <c r="X213" s="61" t="s">
        <v>4785</v>
      </c>
      <c r="Y213" s="61" t="s">
        <v>4786</v>
      </c>
      <c r="Z213" s="61" t="s">
        <v>4787</v>
      </c>
      <c r="AA213" s="61" t="s">
        <v>4788</v>
      </c>
      <c r="AB213" s="63" t="s">
        <v>4789</v>
      </c>
    </row>
    <row r="214" spans="1:28" x14ac:dyDescent="0.25">
      <c r="A214" s="21" t="s">
        <v>529</v>
      </c>
      <c r="B214" s="9" t="str">
        <f t="shared" si="18"/>
        <v>Bis zu einer Genauigkeit von einem 4-stelligen Code.</v>
      </c>
      <c r="D214" s="60" t="s">
        <v>3046</v>
      </c>
      <c r="E214" s="61" t="s">
        <v>3047</v>
      </c>
      <c r="F214" s="62" t="s">
        <v>3048</v>
      </c>
      <c r="G214" s="62" t="s">
        <v>3049</v>
      </c>
      <c r="H214" s="61" t="s">
        <v>3050</v>
      </c>
      <c r="I214" s="50" t="s">
        <v>531</v>
      </c>
      <c r="J214" s="61" t="s">
        <v>4790</v>
      </c>
      <c r="K214" s="61" t="s">
        <v>4791</v>
      </c>
      <c r="L214" s="61" t="s">
        <v>4792</v>
      </c>
      <c r="M214" s="61" t="s">
        <v>4793</v>
      </c>
      <c r="N214" s="61"/>
      <c r="O214" s="61" t="s">
        <v>4794</v>
      </c>
      <c r="P214" s="61" t="s">
        <v>4795</v>
      </c>
      <c r="Q214" s="61" t="s">
        <v>4796</v>
      </c>
      <c r="R214" s="61" t="s">
        <v>4797</v>
      </c>
      <c r="S214" s="61" t="s">
        <v>4798</v>
      </c>
      <c r="T214" s="61" t="s">
        <v>4799</v>
      </c>
      <c r="U214" s="61" t="s">
        <v>4800</v>
      </c>
      <c r="V214" s="62" t="s">
        <v>4801</v>
      </c>
      <c r="W214" s="61" t="s">
        <v>4802</v>
      </c>
      <c r="X214" s="61" t="s">
        <v>4803</v>
      </c>
      <c r="Y214" s="61" t="s">
        <v>4804</v>
      </c>
      <c r="Z214" s="61" t="s">
        <v>4805</v>
      </c>
      <c r="AA214" s="61" t="s">
        <v>4806</v>
      </c>
      <c r="AB214" s="63" t="s">
        <v>4807</v>
      </c>
    </row>
    <row r="215" spans="1:28" x14ac:dyDescent="0.25">
      <c r="A215" s="21" t="s">
        <v>533</v>
      </c>
      <c r="B215" s="9" t="str">
        <f t="shared" si="18"/>
        <v>Link zur vorherigen Version der NTP außerhalb des Systems der Europäischen Kommission (wird von der Behörde ausgefüllt)</v>
      </c>
      <c r="D215" s="60" t="s">
        <v>3051</v>
      </c>
      <c r="E215" s="61" t="s">
        <v>3052</v>
      </c>
      <c r="F215" s="62" t="s">
        <v>3053</v>
      </c>
      <c r="G215" s="62" t="s">
        <v>4939</v>
      </c>
      <c r="H215" s="61" t="s">
        <v>3054</v>
      </c>
      <c r="I215" s="50" t="s">
        <v>535</v>
      </c>
      <c r="J215" s="61" t="s">
        <v>4808</v>
      </c>
      <c r="K215" s="61" t="s">
        <v>4809</v>
      </c>
      <c r="L215" s="61" t="s">
        <v>4810</v>
      </c>
      <c r="M215" s="61" t="s">
        <v>4811</v>
      </c>
      <c r="N215" s="61"/>
      <c r="O215" s="61" t="s">
        <v>4812</v>
      </c>
      <c r="P215" s="61" t="s">
        <v>4813</v>
      </c>
      <c r="Q215" s="61" t="s">
        <v>4814</v>
      </c>
      <c r="R215" s="61" t="s">
        <v>4815</v>
      </c>
      <c r="S215" s="61" t="s">
        <v>4816</v>
      </c>
      <c r="T215" s="61" t="s">
        <v>4817</v>
      </c>
      <c r="U215" s="61" t="s">
        <v>4818</v>
      </c>
      <c r="V215" s="62" t="s">
        <v>4819</v>
      </c>
      <c r="W215" s="61" t="s">
        <v>4820</v>
      </c>
      <c r="X215" s="61" t="s">
        <v>4821</v>
      </c>
      <c r="Y215" s="61" t="s">
        <v>4822</v>
      </c>
      <c r="Z215" s="61" t="s">
        <v>4823</v>
      </c>
      <c r="AA215" s="61" t="s">
        <v>4824</v>
      </c>
      <c r="AB215" s="63" t="s">
        <v>4825</v>
      </c>
    </row>
    <row r="216" spans="1:28" x14ac:dyDescent="0.25">
      <c r="A216" s="21" t="s">
        <v>534</v>
      </c>
      <c r="B216" s="9" t="str">
        <f t="shared" ref="B216:B218" si="19">IF(TRIM(HLOOKUP(language_or_default,textTranslations,MATCH(A216,text,0),FALSE))="",HLOOKUP("en",textTranslations,MATCH(A216,text,0),FALSE),HLOOKUP(language_or_default,textTranslations,MATCH(A216,text,0),FALSE))</f>
        <v>Übergangsweise zu verwenden, wenn die vorherige Version der NTP möglicherweise nicht im System der Europäischen Kommission vorhanden ist.</v>
      </c>
      <c r="D216" s="60" t="s">
        <v>3055</v>
      </c>
      <c r="E216" s="61" t="s">
        <v>3056</v>
      </c>
      <c r="F216" s="62" t="s">
        <v>3057</v>
      </c>
      <c r="G216" s="62" t="s">
        <v>3058</v>
      </c>
      <c r="H216" s="61" t="s">
        <v>3059</v>
      </c>
      <c r="I216" s="50" t="s">
        <v>536</v>
      </c>
      <c r="J216" s="61" t="s">
        <v>4826</v>
      </c>
      <c r="K216" s="61" t="s">
        <v>4827</v>
      </c>
      <c r="L216" s="61" t="s">
        <v>4828</v>
      </c>
      <c r="M216" s="61" t="s">
        <v>4829</v>
      </c>
      <c r="N216" s="61"/>
      <c r="O216" s="61" t="s">
        <v>4830</v>
      </c>
      <c r="P216" s="61" t="s">
        <v>4831</v>
      </c>
      <c r="Q216" s="61" t="s">
        <v>4832</v>
      </c>
      <c r="R216" s="61" t="s">
        <v>4833</v>
      </c>
      <c r="S216" s="61" t="s">
        <v>4834</v>
      </c>
      <c r="T216" s="61" t="s">
        <v>4835</v>
      </c>
      <c r="U216" s="61" t="s">
        <v>4836</v>
      </c>
      <c r="V216" s="62" t="s">
        <v>4837</v>
      </c>
      <c r="W216" s="61" t="s">
        <v>4838</v>
      </c>
      <c r="X216" s="61" t="s">
        <v>4839</v>
      </c>
      <c r="Y216" s="61" t="s">
        <v>4840</v>
      </c>
      <c r="Z216" s="61" t="s">
        <v>4841</v>
      </c>
      <c r="AA216" s="61" t="s">
        <v>4842</v>
      </c>
      <c r="AB216" s="63" t="s">
        <v>4843</v>
      </c>
    </row>
    <row r="217" spans="1:28" x14ac:dyDescent="0.25">
      <c r="A217" s="21" t="s">
        <v>539</v>
      </c>
      <c r="B217" s="9" t="str">
        <f t="shared" si="19"/>
        <v>Kennung der NTP (wird von Behörde ausgefüllt)</v>
      </c>
      <c r="D217" s="60" t="s">
        <v>3060</v>
      </c>
      <c r="E217" s="61" t="s">
        <v>3061</v>
      </c>
      <c r="F217" s="62" t="s">
        <v>3062</v>
      </c>
      <c r="G217" s="62" t="s">
        <v>4936</v>
      </c>
      <c r="H217" s="61" t="s">
        <v>3063</v>
      </c>
      <c r="I217" s="50" t="s">
        <v>540</v>
      </c>
      <c r="J217" s="61" t="s">
        <v>4844</v>
      </c>
      <c r="K217" s="61" t="s">
        <v>4845</v>
      </c>
      <c r="L217" s="61" t="s">
        <v>4846</v>
      </c>
      <c r="M217" s="61" t="s">
        <v>4847</v>
      </c>
      <c r="N217" s="61"/>
      <c r="O217" s="61" t="s">
        <v>4848</v>
      </c>
      <c r="P217" s="61" t="s">
        <v>4849</v>
      </c>
      <c r="Q217" s="61" t="s">
        <v>4850</v>
      </c>
      <c r="R217" s="61" t="s">
        <v>4851</v>
      </c>
      <c r="S217" s="61" t="s">
        <v>4852</v>
      </c>
      <c r="T217" s="61" t="s">
        <v>4853</v>
      </c>
      <c r="U217" s="61" t="s">
        <v>4854</v>
      </c>
      <c r="V217" s="62" t="s">
        <v>4855</v>
      </c>
      <c r="W217" s="61" t="s">
        <v>4856</v>
      </c>
      <c r="X217" s="61" t="s">
        <v>4857</v>
      </c>
      <c r="Y217" s="61" t="s">
        <v>4858</v>
      </c>
      <c r="Z217" s="61" t="s">
        <v>4859</v>
      </c>
      <c r="AA217" s="61" t="s">
        <v>4860</v>
      </c>
      <c r="AB217" s="63" t="s">
        <v>4861</v>
      </c>
    </row>
    <row r="218" spans="1:28" x14ac:dyDescent="0.25">
      <c r="A218" s="21" t="s">
        <v>541</v>
      </c>
      <c r="B218" s="9" t="str">
        <f t="shared" si="19"/>
        <v xml:space="preserve">Vom zentralen System der Europäischen Kommission zugewiesene eindeutige NTP-Kennung </v>
      </c>
      <c r="D218" s="60" t="s">
        <v>3064</v>
      </c>
      <c r="E218" s="61" t="s">
        <v>3065</v>
      </c>
      <c r="F218" s="76" t="s">
        <v>3066</v>
      </c>
      <c r="G218" s="62" t="s">
        <v>4937</v>
      </c>
      <c r="H218" s="61" t="s">
        <v>3067</v>
      </c>
      <c r="I218" s="50" t="s">
        <v>552</v>
      </c>
      <c r="J218" s="61" t="s">
        <v>4862</v>
      </c>
      <c r="K218" s="61" t="s">
        <v>4863</v>
      </c>
      <c r="L218" s="61" t="s">
        <v>4864</v>
      </c>
      <c r="M218" s="61" t="s">
        <v>4865</v>
      </c>
      <c r="N218" s="61"/>
      <c r="O218" s="61" t="s">
        <v>4866</v>
      </c>
      <c r="P218" s="61" t="s">
        <v>4867</v>
      </c>
      <c r="Q218" s="61" t="s">
        <v>4868</v>
      </c>
      <c r="R218" s="61" t="s">
        <v>4869</v>
      </c>
      <c r="S218" s="61" t="s">
        <v>4870</v>
      </c>
      <c r="T218" s="61" t="s">
        <v>4871</v>
      </c>
      <c r="U218" s="61" t="s">
        <v>4872</v>
      </c>
      <c r="V218" s="62" t="s">
        <v>4873</v>
      </c>
      <c r="W218" s="61" t="s">
        <v>4874</v>
      </c>
      <c r="X218" s="61" t="s">
        <v>4875</v>
      </c>
      <c r="Y218" s="61" t="s">
        <v>4876</v>
      </c>
      <c r="Z218" s="61" t="s">
        <v>4877</v>
      </c>
      <c r="AA218" s="61" t="s">
        <v>4878</v>
      </c>
      <c r="AB218" s="63" t="s">
        <v>4879</v>
      </c>
    </row>
    <row r="219" spans="1:28" x14ac:dyDescent="0.25">
      <c r="A219" s="21" t="s">
        <v>542</v>
      </c>
      <c r="B219" s="9" t="str">
        <f t="shared" si="18"/>
        <v>Nur auszufüllen bei der Aktualisierung einer im System der Europäischen Kommission bereits gespeicherten NTP.</v>
      </c>
      <c r="D219" s="60" t="s">
        <v>3068</v>
      </c>
      <c r="E219" s="61" t="s">
        <v>3069</v>
      </c>
      <c r="F219" s="62" t="s">
        <v>3070</v>
      </c>
      <c r="G219" s="62" t="s">
        <v>3071</v>
      </c>
      <c r="H219" s="61" t="s">
        <v>3072</v>
      </c>
      <c r="I219" s="50" t="s">
        <v>543</v>
      </c>
      <c r="J219" s="61" t="s">
        <v>4880</v>
      </c>
      <c r="K219" s="61" t="s">
        <v>4881</v>
      </c>
      <c r="L219" s="61" t="s">
        <v>4882</v>
      </c>
      <c r="M219" s="61" t="s">
        <v>4883</v>
      </c>
      <c r="N219" s="61"/>
      <c r="O219" s="61" t="s">
        <v>4884</v>
      </c>
      <c r="P219" s="61" t="s">
        <v>4885</v>
      </c>
      <c r="Q219" s="61" t="s">
        <v>4886</v>
      </c>
      <c r="R219" s="61" t="s">
        <v>4887</v>
      </c>
      <c r="S219" s="61" t="s">
        <v>4888</v>
      </c>
      <c r="T219" s="61" t="s">
        <v>4889</v>
      </c>
      <c r="U219" s="61" t="s">
        <v>4890</v>
      </c>
      <c r="V219" s="62" t="s">
        <v>4891</v>
      </c>
      <c r="W219" s="61" t="s">
        <v>4892</v>
      </c>
      <c r="X219" s="61" t="s">
        <v>4893</v>
      </c>
      <c r="Y219" s="61" t="s">
        <v>4894</v>
      </c>
      <c r="Z219" s="61" t="s">
        <v>4895</v>
      </c>
      <c r="AA219" s="61" t="s">
        <v>4896</v>
      </c>
      <c r="AB219" s="63" t="s">
        <v>4897</v>
      </c>
    </row>
    <row r="220" spans="1:28" x14ac:dyDescent="0.25">
      <c r="A220" s="21" t="s">
        <v>547</v>
      </c>
      <c r="B220" s="9" t="str">
        <f t="shared" si="18"/>
        <v>Vom MS festgelegter Schweregrad</v>
      </c>
      <c r="D220" s="60" t="s">
        <v>3073</v>
      </c>
      <c r="E220" s="61" t="s">
        <v>3074</v>
      </c>
      <c r="F220" s="62" t="s">
        <v>3075</v>
      </c>
      <c r="G220" s="62" t="s">
        <v>3076</v>
      </c>
      <c r="H220" s="61" t="s">
        <v>3077</v>
      </c>
      <c r="I220" s="50" t="s">
        <v>548</v>
      </c>
      <c r="J220" s="61" t="s">
        <v>4898</v>
      </c>
      <c r="K220" s="61" t="s">
        <v>4899</v>
      </c>
      <c r="L220" s="61" t="s">
        <v>4900</v>
      </c>
      <c r="M220" s="61" t="s">
        <v>4901</v>
      </c>
      <c r="N220" s="61"/>
      <c r="O220" s="61" t="s">
        <v>4902</v>
      </c>
      <c r="P220" s="61" t="s">
        <v>4903</v>
      </c>
      <c r="Q220" s="61" t="s">
        <v>4904</v>
      </c>
      <c r="R220" s="61" t="s">
        <v>4905</v>
      </c>
      <c r="S220" s="61" t="s">
        <v>4906</v>
      </c>
      <c r="T220" s="61" t="s">
        <v>4907</v>
      </c>
      <c r="U220" s="61" t="s">
        <v>4908</v>
      </c>
      <c r="V220" s="62" t="s">
        <v>4909</v>
      </c>
      <c r="W220" s="61" t="s">
        <v>4910</v>
      </c>
      <c r="X220" s="61" t="s">
        <v>4911</v>
      </c>
      <c r="Y220" s="61" t="s">
        <v>4912</v>
      </c>
      <c r="Z220" s="61" t="s">
        <v>4913</v>
      </c>
      <c r="AA220" s="61" t="s">
        <v>4914</v>
      </c>
      <c r="AB220" s="63" t="s">
        <v>4915</v>
      </c>
    </row>
    <row r="221" spans="1:28" x14ac:dyDescent="0.25">
      <c r="A221" s="21" t="s">
        <v>553</v>
      </c>
      <c r="B221" s="9" t="str">
        <f t="shared" si="18"/>
        <v>Das Feld wird nicht veröffentlicht.</v>
      </c>
      <c r="D221" s="60" t="s">
        <v>3078</v>
      </c>
      <c r="E221" s="61" t="s">
        <v>3079</v>
      </c>
      <c r="F221" s="62" t="s">
        <v>3080</v>
      </c>
      <c r="G221" s="62" t="s">
        <v>3081</v>
      </c>
      <c r="H221" s="61" t="s">
        <v>3082</v>
      </c>
      <c r="I221" s="50" t="s">
        <v>554</v>
      </c>
      <c r="J221" s="61" t="s">
        <v>4916</v>
      </c>
      <c r="K221" s="61" t="s">
        <v>4917</v>
      </c>
      <c r="L221" s="61" t="s">
        <v>4918</v>
      </c>
      <c r="M221" s="61" t="s">
        <v>4919</v>
      </c>
      <c r="N221" s="61"/>
      <c r="O221" s="61" t="s">
        <v>4920</v>
      </c>
      <c r="P221" s="61" t="s">
        <v>4921</v>
      </c>
      <c r="Q221" s="61" t="s">
        <v>4922</v>
      </c>
      <c r="R221" s="61" t="s">
        <v>4923</v>
      </c>
      <c r="S221" s="61" t="s">
        <v>4924</v>
      </c>
      <c r="T221" s="61" t="s">
        <v>4925</v>
      </c>
      <c r="U221" s="61" t="s">
        <v>4926</v>
      </c>
      <c r="V221" s="62" t="s">
        <v>4927</v>
      </c>
      <c r="W221" s="61" t="s">
        <v>4928</v>
      </c>
      <c r="X221" s="61" t="s">
        <v>4929</v>
      </c>
      <c r="Y221" s="61" t="s">
        <v>4930</v>
      </c>
      <c r="Z221" s="61" t="s">
        <v>4931</v>
      </c>
      <c r="AA221" s="61" t="s">
        <v>4932</v>
      </c>
      <c r="AB221" s="63" t="s">
        <v>4933</v>
      </c>
    </row>
    <row r="222" spans="1:28" x14ac:dyDescent="0.25">
      <c r="B222" s="9" t="e">
        <f t="shared" si="18"/>
        <v>#N/A</v>
      </c>
      <c r="D222" s="68"/>
      <c r="E222" s="38"/>
      <c r="F222" s="38"/>
      <c r="G222" s="38"/>
      <c r="H222" s="38"/>
      <c r="I222" s="50"/>
      <c r="J222" s="38"/>
      <c r="K222" s="38"/>
      <c r="L222" s="38"/>
      <c r="M222" s="38"/>
      <c r="N222" s="38"/>
      <c r="O222" s="38"/>
      <c r="P222" s="38"/>
      <c r="Q222" s="38"/>
      <c r="R222" s="38"/>
      <c r="S222" s="38"/>
      <c r="T222" s="38"/>
      <c r="U222" s="38"/>
      <c r="V222" s="38"/>
      <c r="W222" s="38"/>
      <c r="X222" s="38"/>
      <c r="Y222" s="38"/>
      <c r="Z222" s="38"/>
      <c r="AA222" s="38"/>
      <c r="AB222" s="69"/>
    </row>
    <row r="223" spans="1:28" x14ac:dyDescent="0.25">
      <c r="B223" s="9" t="e">
        <f t="shared" si="18"/>
        <v>#N/A</v>
      </c>
      <c r="D223" s="68"/>
      <c r="E223" s="38"/>
      <c r="F223" s="38"/>
      <c r="G223" s="38"/>
      <c r="H223" s="38"/>
      <c r="I223" s="50"/>
      <c r="J223" s="38"/>
      <c r="K223" s="38"/>
      <c r="L223" s="38"/>
      <c r="M223" s="38"/>
      <c r="N223" s="38"/>
      <c r="O223" s="38"/>
      <c r="P223" s="38"/>
      <c r="Q223" s="38"/>
      <c r="R223" s="38"/>
      <c r="S223" s="38"/>
      <c r="T223" s="38"/>
      <c r="U223" s="38"/>
      <c r="V223" s="38"/>
      <c r="W223" s="38"/>
      <c r="X223" s="38"/>
      <c r="Y223" s="38"/>
      <c r="Z223" s="38"/>
      <c r="AA223" s="38"/>
      <c r="AB223" s="69"/>
    </row>
    <row r="224" spans="1:28" x14ac:dyDescent="0.25">
      <c r="B224" s="9" t="e">
        <f t="shared" si="18"/>
        <v>#N/A</v>
      </c>
      <c r="D224" s="68"/>
      <c r="E224" s="38"/>
      <c r="F224" s="38"/>
      <c r="G224" s="38"/>
      <c r="H224" s="38"/>
      <c r="I224" s="50"/>
      <c r="J224" s="38"/>
      <c r="K224" s="38"/>
      <c r="L224" s="38"/>
      <c r="M224" s="38"/>
      <c r="N224" s="38"/>
      <c r="O224" s="38"/>
      <c r="P224" s="38"/>
      <c r="Q224" s="38"/>
      <c r="R224" s="38"/>
      <c r="S224" s="38"/>
      <c r="T224" s="38"/>
      <c r="U224" s="38"/>
      <c r="V224" s="38"/>
      <c r="W224" s="38"/>
      <c r="X224" s="38"/>
      <c r="Y224" s="38"/>
      <c r="Z224" s="38"/>
      <c r="AA224" s="38"/>
      <c r="AB224" s="69"/>
    </row>
    <row r="225" spans="2:28" ht="15.75" thickBot="1" x14ac:dyDescent="0.3">
      <c r="B225" s="9" t="e">
        <f t="shared" si="14"/>
        <v>#N/A</v>
      </c>
      <c r="D225" s="70"/>
      <c r="E225" s="47"/>
      <c r="F225" s="47"/>
      <c r="G225" s="47"/>
      <c r="H225" s="47"/>
      <c r="I225" s="53"/>
      <c r="J225" s="47"/>
      <c r="K225" s="47"/>
      <c r="L225" s="47"/>
      <c r="M225" s="47"/>
      <c r="N225" s="47"/>
      <c r="O225" s="47"/>
      <c r="P225" s="47"/>
      <c r="Q225" s="47"/>
      <c r="R225" s="47"/>
      <c r="S225" s="47"/>
      <c r="T225" s="47"/>
      <c r="U225" s="47"/>
      <c r="V225" s="47"/>
      <c r="W225" s="47"/>
      <c r="X225" s="47"/>
      <c r="Y225" s="47"/>
      <c r="Z225" s="47"/>
      <c r="AA225" s="47"/>
      <c r="AB225" s="71"/>
    </row>
  </sheetData>
  <sheetProtection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38"/>
  <sheetViews>
    <sheetView workbookViewId="0">
      <selection sqref="A1:XFD1048576"/>
    </sheetView>
  </sheetViews>
  <sheetFormatPr baseColWidth="10" defaultColWidth="9" defaultRowHeight="15" x14ac:dyDescent="0.25"/>
  <cols>
    <col min="1" max="1" width="22.85546875" style="3" customWidth="1"/>
    <col min="2" max="2" width="26.28515625" style="3" customWidth="1"/>
    <col min="3" max="3" width="35.140625" style="3" customWidth="1"/>
    <col min="4" max="4" width="24.85546875" style="9" customWidth="1"/>
    <col min="5" max="16384" width="9" style="9"/>
  </cols>
  <sheetData>
    <row r="1" spans="1:31" ht="15.75" thickBot="1" x14ac:dyDescent="0.3"/>
    <row r="2" spans="1:31" ht="15.75" thickBot="1" x14ac:dyDescent="0.3">
      <c r="A2" s="21" t="s">
        <v>12</v>
      </c>
      <c r="B2" s="77" t="str">
        <f>IF(language="","en",language)</f>
        <v>de</v>
      </c>
    </row>
    <row r="3" spans="1:31" ht="15.75" thickBot="1" x14ac:dyDescent="0.3">
      <c r="A3" s="21" t="s">
        <v>15</v>
      </c>
      <c r="B3" s="78" t="str">
        <f>yes</f>
        <v>Ja [1]</v>
      </c>
      <c r="C3" s="79" t="str">
        <f>no</f>
        <v>Nein [0]</v>
      </c>
    </row>
    <row r="4" spans="1:31" ht="15.75" thickBot="1" x14ac:dyDescent="0.3">
      <c r="A4" s="21" t="s">
        <v>14</v>
      </c>
      <c r="B4" s="78" t="str">
        <f>yes</f>
        <v>Ja [1]</v>
      </c>
      <c r="C4" s="80" t="s">
        <v>6</v>
      </c>
    </row>
    <row r="5" spans="1:31" ht="15.75" thickBot="1" x14ac:dyDescent="0.3">
      <c r="A5" s="21" t="s">
        <v>391</v>
      </c>
      <c r="B5" s="77">
        <v>1</v>
      </c>
      <c r="C5" s="81"/>
    </row>
    <row r="6" spans="1:31" ht="15.75" thickBot="1" x14ac:dyDescent="0.3">
      <c r="A6" s="21" t="s">
        <v>174</v>
      </c>
      <c r="B6" s="77" t="str">
        <f>IF(NTS!B2="","",IF(VLOOKUP(NTS!B2,A11:B38,2)="yes","*",""))</f>
        <v>*</v>
      </c>
      <c r="C6" s="81"/>
    </row>
    <row r="7" spans="1:31" ht="15.75" thickBot="1" x14ac:dyDescent="0.3">
      <c r="A7" s="21" t="s">
        <v>393</v>
      </c>
      <c r="B7" s="77" t="str">
        <f>IF(NTS!B2="","",IF(VLOOKUP(NTS!B2,A11:C38,3)="yes","*",""))</f>
        <v/>
      </c>
      <c r="C7" s="81"/>
    </row>
    <row r="8" spans="1:31" ht="15.75" thickBot="1" x14ac:dyDescent="0.3">
      <c r="A8" s="21" t="s">
        <v>398</v>
      </c>
      <c r="B8" s="77" t="str">
        <f>IF(NTS!B2="","",IF(VLOOKUP(NTS!B2,A11:D38,4)="yes","*",""))</f>
        <v/>
      </c>
      <c r="C8" s="81"/>
    </row>
    <row r="9" spans="1:31" x14ac:dyDescent="0.25">
      <c r="A9" s="5"/>
      <c r="B9" s="82"/>
      <c r="C9" s="81"/>
    </row>
    <row r="10" spans="1:31" ht="15.75" thickBot="1" x14ac:dyDescent="0.3">
      <c r="A10" s="21" t="s">
        <v>172</v>
      </c>
      <c r="B10" s="82" t="s">
        <v>173</v>
      </c>
      <c r="C10" s="81" t="s">
        <v>392</v>
      </c>
      <c r="D10" s="9" t="s">
        <v>397</v>
      </c>
    </row>
    <row r="11" spans="1:31" x14ac:dyDescent="0.25">
      <c r="A11" s="42" t="s">
        <v>35</v>
      </c>
      <c r="B11" s="83" t="s">
        <v>4</v>
      </c>
      <c r="C11" s="84"/>
      <c r="D11" s="85"/>
    </row>
    <row r="12" spans="1:31" x14ac:dyDescent="0.25">
      <c r="A12" s="42" t="s">
        <v>36</v>
      </c>
      <c r="B12" s="86" t="s">
        <v>4</v>
      </c>
      <c r="C12" s="81"/>
      <c r="D12" s="69"/>
    </row>
    <row r="13" spans="1:31" x14ac:dyDescent="0.25">
      <c r="A13" s="42" t="s">
        <v>37</v>
      </c>
      <c r="B13" s="86" t="s">
        <v>4</v>
      </c>
      <c r="C13" s="81"/>
      <c r="D13" s="69"/>
    </row>
    <row r="14" spans="1:31" x14ac:dyDescent="0.25">
      <c r="A14" s="42" t="s">
        <v>38</v>
      </c>
      <c r="B14" s="86" t="s">
        <v>4</v>
      </c>
      <c r="C14" s="81"/>
      <c r="D14" s="69"/>
    </row>
    <row r="15" spans="1:31" x14ac:dyDescent="0.25">
      <c r="A15" s="42" t="s">
        <v>39</v>
      </c>
      <c r="B15" s="86"/>
      <c r="C15" s="82"/>
      <c r="D15" s="69"/>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row>
    <row r="16" spans="1:31" x14ac:dyDescent="0.25">
      <c r="A16" s="42" t="s">
        <v>40</v>
      </c>
      <c r="B16" s="86"/>
      <c r="C16" s="82"/>
      <c r="D16" s="69"/>
    </row>
    <row r="17" spans="1:4" x14ac:dyDescent="0.25">
      <c r="A17" s="42" t="s">
        <v>41</v>
      </c>
      <c r="B17" s="86" t="s">
        <v>4</v>
      </c>
      <c r="C17" s="82"/>
      <c r="D17" s="69"/>
    </row>
    <row r="18" spans="1:4" x14ac:dyDescent="0.25">
      <c r="A18" s="42" t="s">
        <v>42</v>
      </c>
      <c r="B18" s="86"/>
      <c r="C18" s="82"/>
      <c r="D18" s="69"/>
    </row>
    <row r="19" spans="1:4" x14ac:dyDescent="0.25">
      <c r="A19" s="42" t="s">
        <v>43</v>
      </c>
      <c r="B19" s="86" t="s">
        <v>4</v>
      </c>
      <c r="C19" s="82"/>
      <c r="D19" s="69"/>
    </row>
    <row r="20" spans="1:4" x14ac:dyDescent="0.25">
      <c r="A20" s="42" t="s">
        <v>44</v>
      </c>
      <c r="B20" s="86"/>
      <c r="C20" s="82"/>
      <c r="D20" s="69"/>
    </row>
    <row r="21" spans="1:4" x14ac:dyDescent="0.25">
      <c r="A21" s="42" t="s">
        <v>45</v>
      </c>
      <c r="B21" s="86" t="s">
        <v>4</v>
      </c>
      <c r="C21" s="82"/>
      <c r="D21" s="69"/>
    </row>
    <row r="22" spans="1:4" x14ac:dyDescent="0.25">
      <c r="A22" s="42" t="s">
        <v>46</v>
      </c>
      <c r="B22" s="86"/>
      <c r="C22" s="82"/>
      <c r="D22" s="69"/>
    </row>
    <row r="23" spans="1:4" x14ac:dyDescent="0.25">
      <c r="A23" s="42" t="s">
        <v>47</v>
      </c>
      <c r="B23" s="86" t="s">
        <v>4</v>
      </c>
      <c r="C23" s="82"/>
      <c r="D23" s="69"/>
    </row>
    <row r="24" spans="1:4" x14ac:dyDescent="0.25">
      <c r="A24" s="42" t="s">
        <v>48</v>
      </c>
      <c r="B24" s="86"/>
      <c r="C24" s="82"/>
      <c r="D24" s="69"/>
    </row>
    <row r="25" spans="1:4" x14ac:dyDescent="0.25">
      <c r="A25" s="42" t="s">
        <v>49</v>
      </c>
      <c r="B25" s="86"/>
      <c r="C25" s="82"/>
      <c r="D25" s="69"/>
    </row>
    <row r="26" spans="1:4" x14ac:dyDescent="0.25">
      <c r="A26" s="42" t="s">
        <v>50</v>
      </c>
      <c r="B26" s="86"/>
      <c r="C26" s="82"/>
      <c r="D26" s="69"/>
    </row>
    <row r="27" spans="1:4" x14ac:dyDescent="0.25">
      <c r="A27" s="42" t="s">
        <v>51</v>
      </c>
      <c r="B27" s="86" t="s">
        <v>4</v>
      </c>
      <c r="C27" s="82"/>
      <c r="D27" s="69"/>
    </row>
    <row r="28" spans="1:4" x14ac:dyDescent="0.25">
      <c r="A28" s="42" t="s">
        <v>52</v>
      </c>
      <c r="B28" s="86"/>
      <c r="C28" s="82"/>
      <c r="D28" s="69"/>
    </row>
    <row r="29" spans="1:4" x14ac:dyDescent="0.25">
      <c r="A29" s="42" t="s">
        <v>53</v>
      </c>
      <c r="B29" s="86"/>
      <c r="C29" s="82"/>
      <c r="D29" s="69"/>
    </row>
    <row r="30" spans="1:4" x14ac:dyDescent="0.25">
      <c r="A30" s="42" t="s">
        <v>54</v>
      </c>
      <c r="B30" s="86" t="s">
        <v>4</v>
      </c>
      <c r="C30" s="82"/>
      <c r="D30" s="69"/>
    </row>
    <row r="31" spans="1:4" x14ac:dyDescent="0.25">
      <c r="A31" s="42" t="s">
        <v>55</v>
      </c>
      <c r="B31" s="86" t="s">
        <v>4</v>
      </c>
      <c r="C31" s="82"/>
      <c r="D31" s="69"/>
    </row>
    <row r="32" spans="1:4" x14ac:dyDescent="0.25">
      <c r="A32" s="42" t="s">
        <v>56</v>
      </c>
      <c r="B32" s="86" t="s">
        <v>4</v>
      </c>
      <c r="C32" s="82"/>
      <c r="D32" s="69"/>
    </row>
    <row r="33" spans="1:4" x14ac:dyDescent="0.25">
      <c r="A33" s="42" t="s">
        <v>57</v>
      </c>
      <c r="B33" s="86" t="s">
        <v>4</v>
      </c>
      <c r="C33" s="82"/>
      <c r="D33" s="69"/>
    </row>
    <row r="34" spans="1:4" x14ac:dyDescent="0.25">
      <c r="A34" s="42" t="s">
        <v>58</v>
      </c>
      <c r="B34" s="86" t="s">
        <v>4</v>
      </c>
      <c r="C34" s="82"/>
      <c r="D34" s="69"/>
    </row>
    <row r="35" spans="1:4" x14ac:dyDescent="0.25">
      <c r="A35" s="42" t="s">
        <v>59</v>
      </c>
      <c r="B35" s="86" t="s">
        <v>4</v>
      </c>
      <c r="C35" s="82"/>
      <c r="D35" s="69"/>
    </row>
    <row r="36" spans="1:4" x14ac:dyDescent="0.25">
      <c r="A36" s="42" t="s">
        <v>60</v>
      </c>
      <c r="B36" s="86" t="s">
        <v>4</v>
      </c>
      <c r="C36" s="82"/>
      <c r="D36" s="69"/>
    </row>
    <row r="37" spans="1:4" x14ac:dyDescent="0.25">
      <c r="A37" s="42" t="s">
        <v>61</v>
      </c>
      <c r="B37" s="86" t="s">
        <v>4</v>
      </c>
      <c r="C37" s="82"/>
      <c r="D37" s="69"/>
    </row>
    <row r="38" spans="1:4" ht="15.75" thickBot="1" x14ac:dyDescent="0.3">
      <c r="A38" s="42" t="s">
        <v>62</v>
      </c>
      <c r="B38" s="87"/>
      <c r="C38" s="88"/>
      <c r="D38" s="71"/>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xr:uid="{00000000-0002-0000-0500-000000000000}">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144</vt:i4>
      </vt:variant>
    </vt:vector>
  </HeadingPairs>
  <TitlesOfParts>
    <vt:vector size="150"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'Expected harms'!Druckbereich</vt:lpstr>
      <vt:lpstr>'Fate of animals kept alive'!Druckbereich</vt:lpstr>
      <vt:lpstr>NTS!Druckbereich</vt:lpstr>
      <vt:lpstr>'Purpose of the project'!Druckbereich</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2025-03-31T13:31:01Z</cp:lastPrinted>
  <dcterms:created xsi:type="dcterms:W3CDTF">2020-03-26T19:58:53Z</dcterms:created>
  <dcterms:modified xsi:type="dcterms:W3CDTF">2026-03-19T10:10:56Z</dcterms:modified>
</cp:coreProperties>
</file>